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inkpad\Documents\Projekty\Matyáš\DSP\PBŘ rev1\"/>
    </mc:Choice>
  </mc:AlternateContent>
  <bookViews>
    <workbookView xWindow="360" yWindow="75" windowWidth="19155" windowHeight="16920" activeTab="4"/>
  </bookViews>
  <sheets>
    <sheet name="POŽÁRNÍ ÚSEKY" sheetId="9" r:id="rId1"/>
    <sheet name="STUPEŇ POŽÁRNÍ BEZPEČNOSTI" sheetId="8" r:id="rId2"/>
    <sheet name="ÚNIKOVÉ CESTY" sheetId="6" r:id="rId3"/>
    <sheet name="ODSTUPOVÉ VZDÁLENOSTI" sheetId="4" r:id="rId4"/>
    <sheet name="HASICÍ PŘÍSTROJE" sheetId="5" r:id="rId5"/>
    <sheet name="Výpočet" sheetId="1" r:id="rId6"/>
    <sheet name="Otvory" sheetId="2" r:id="rId7"/>
    <sheet name="ROZD" sheetId="10" r:id="rId8"/>
  </sheets>
  <definedNames>
    <definedName name="_xlnm._FilterDatabase" localSheetId="4" hidden="1">'HASICÍ PŘÍSTROJE'!#REF!</definedName>
    <definedName name="_xlnm._FilterDatabase" localSheetId="3" hidden="1">'ODSTUPOVÉ VZDÁLENOSTI'!$R$1:$R$86</definedName>
    <definedName name="_xlnm._FilterDatabase" localSheetId="0" hidden="1">'POŽÁRNÍ ÚSEKY'!$A$1:$I$43</definedName>
    <definedName name="_xlnm._FilterDatabase" localSheetId="2" hidden="1">'ÚNIKOVÉ CESTY'!#REF!</definedName>
    <definedName name="_xlnm._FilterDatabase" localSheetId="5" hidden="1">Výpočet!$AE$1:$AE$409</definedName>
    <definedName name="_xlnm.Print_Titles" localSheetId="1">'STUPEŇ POŽÁRNÍ BEZPEČNOSTI'!$1:$1</definedName>
    <definedName name="_xlnm.Print_Titles" localSheetId="2">'ÚNIKOVÉ CESTY'!$1:$1</definedName>
  </definedNames>
  <calcPr calcId="152511"/>
</workbook>
</file>

<file path=xl/calcChain.xml><?xml version="1.0" encoding="utf-8"?>
<calcChain xmlns="http://schemas.openxmlformats.org/spreadsheetml/2006/main">
  <c r="C334" i="1" l="1"/>
  <c r="C302" i="10" l="1"/>
  <c r="C300" i="10"/>
  <c r="C298" i="10"/>
  <c r="C296" i="10"/>
  <c r="C278" i="10"/>
  <c r="C243" i="10"/>
  <c r="C241" i="10"/>
  <c r="C235" i="10"/>
  <c r="C204" i="10"/>
  <c r="C202" i="10"/>
  <c r="C198" i="10"/>
  <c r="C179" i="10"/>
  <c r="C177" i="10"/>
  <c r="C175" i="10"/>
  <c r="C166" i="10"/>
  <c r="C122" i="10"/>
  <c r="C118" i="10"/>
  <c r="C111" i="10"/>
  <c r="C109" i="10"/>
  <c r="C100" i="10"/>
  <c r="C78" i="10"/>
  <c r="C76" i="10"/>
  <c r="C72" i="10"/>
  <c r="G49" i="10"/>
  <c r="G44" i="10"/>
  <c r="G42" i="10"/>
  <c r="G40" i="10"/>
  <c r="G33" i="10"/>
  <c r="G12" i="10"/>
  <c r="G2" i="10"/>
  <c r="C56" i="10"/>
  <c r="C35" i="10"/>
  <c r="C33" i="10"/>
  <c r="C29" i="10"/>
  <c r="C27" i="10"/>
  <c r="C8" i="10"/>
  <c r="C6" i="10"/>
  <c r="C4" i="10"/>
  <c r="C2" i="10"/>
  <c r="P2" i="4"/>
  <c r="P3" i="4"/>
  <c r="P4" i="4"/>
  <c r="P5" i="4"/>
  <c r="P6" i="4"/>
  <c r="P7" i="4"/>
  <c r="P8" i="4"/>
  <c r="P9" i="4"/>
  <c r="P10" i="4"/>
  <c r="P11" i="4"/>
  <c r="E12" i="4"/>
  <c r="P12" i="4"/>
  <c r="P13" i="4"/>
  <c r="P14" i="4"/>
  <c r="P15" i="4"/>
  <c r="P16" i="4"/>
  <c r="P17" i="4"/>
  <c r="P18" i="4"/>
  <c r="P19" i="4"/>
  <c r="P20" i="4"/>
  <c r="P21" i="4"/>
  <c r="P22" i="4"/>
  <c r="E23" i="4"/>
  <c r="P23" i="4"/>
  <c r="P24" i="4"/>
  <c r="P25" i="4"/>
  <c r="P26" i="4"/>
  <c r="P27" i="4"/>
  <c r="P28" i="4"/>
  <c r="P29" i="4"/>
  <c r="P30" i="4"/>
  <c r="P31" i="4"/>
  <c r="E32" i="4"/>
  <c r="P32" i="4"/>
  <c r="P33" i="4"/>
  <c r="P34" i="4"/>
  <c r="P35" i="4"/>
  <c r="T37" i="4"/>
  <c r="T36" i="4"/>
  <c r="U25" i="4"/>
  <c r="U24" i="4"/>
  <c r="U22" i="4"/>
  <c r="U21" i="4"/>
  <c r="U19" i="4"/>
  <c r="U15" i="4"/>
  <c r="U14" i="4"/>
  <c r="U13" i="4"/>
  <c r="U10" i="4"/>
  <c r="U9" i="4"/>
  <c r="U8" i="4"/>
  <c r="T30" i="4"/>
  <c r="T33" i="4"/>
  <c r="T32" i="4"/>
  <c r="T31" i="4"/>
  <c r="T29" i="4"/>
  <c r="T28" i="4"/>
  <c r="T27" i="4"/>
  <c r="T26" i="4"/>
  <c r="T23" i="4"/>
  <c r="T25" i="4"/>
  <c r="T24" i="4"/>
  <c r="T22" i="4"/>
  <c r="T21" i="4"/>
  <c r="T20" i="4"/>
  <c r="T19" i="4"/>
  <c r="T18" i="4"/>
  <c r="T17" i="4"/>
  <c r="T16" i="4"/>
  <c r="T15" i="4"/>
  <c r="T14" i="4"/>
  <c r="T13" i="4"/>
  <c r="T12" i="4"/>
  <c r="T11" i="4"/>
  <c r="T9" i="4"/>
  <c r="T10" i="4"/>
  <c r="T8" i="4"/>
  <c r="T6" i="4"/>
  <c r="T7" i="4"/>
  <c r="T5" i="4"/>
  <c r="T35" i="4"/>
  <c r="T34" i="4"/>
  <c r="T2" i="4"/>
  <c r="T3" i="4"/>
  <c r="T4" i="4"/>
  <c r="R39" i="6"/>
  <c r="R38" i="6"/>
  <c r="R43" i="6"/>
  <c r="R42" i="6"/>
  <c r="R41" i="6"/>
  <c r="R40" i="6"/>
  <c r="F37" i="6"/>
  <c r="R37" i="6" s="1"/>
  <c r="F36" i="6"/>
  <c r="R36" i="6" s="1"/>
  <c r="F35" i="6"/>
  <c r="R35" i="6" s="1"/>
  <c r="F34" i="6"/>
  <c r="R34" i="6" s="1"/>
  <c r="F33" i="6"/>
  <c r="R33" i="6" s="1"/>
  <c r="R32" i="6"/>
  <c r="M32" i="6"/>
  <c r="H31" i="6"/>
  <c r="G31" i="6"/>
  <c r="F30" i="6"/>
  <c r="F29" i="6"/>
  <c r="R29" i="6" s="1"/>
  <c r="R28" i="6"/>
  <c r="M28" i="6"/>
  <c r="M27" i="6"/>
  <c r="F27" i="6"/>
  <c r="R27" i="6" s="1"/>
  <c r="F26" i="6"/>
  <c r="R26" i="6" s="1"/>
  <c r="F25" i="6"/>
  <c r="R25" i="6" s="1"/>
  <c r="H24" i="6"/>
  <c r="G24" i="6"/>
  <c r="F23" i="6"/>
  <c r="R23" i="6" s="1"/>
  <c r="F22" i="6"/>
  <c r="R22" i="6" s="1"/>
  <c r="F21" i="6"/>
  <c r="R21" i="6" s="1"/>
  <c r="R20" i="6"/>
  <c r="M20" i="6"/>
  <c r="H19" i="6"/>
  <c r="G19" i="6"/>
  <c r="F18" i="6"/>
  <c r="F17" i="6"/>
  <c r="R17" i="6" s="1"/>
  <c r="R16" i="6"/>
  <c r="M16" i="6"/>
  <c r="R15" i="6"/>
  <c r="M15" i="6"/>
  <c r="M14" i="6"/>
  <c r="F14" i="6"/>
  <c r="R14" i="6" s="1"/>
  <c r="F13" i="6"/>
  <c r="R13" i="6" s="1"/>
  <c r="F12" i="6"/>
  <c r="R12" i="6" s="1"/>
  <c r="R11" i="6"/>
  <c r="H10" i="6"/>
  <c r="G10" i="6"/>
  <c r="G9" i="6"/>
  <c r="F9" i="6" s="1"/>
  <c r="R9" i="6" s="1"/>
  <c r="R8" i="6"/>
  <c r="M8" i="6"/>
  <c r="H7" i="6"/>
  <c r="F6" i="6"/>
  <c r="R6" i="6" s="1"/>
  <c r="F5" i="6"/>
  <c r="R5" i="6" s="1"/>
  <c r="R4" i="6"/>
  <c r="R3" i="6"/>
  <c r="R2" i="6"/>
  <c r="E43" i="5"/>
  <c r="F43" i="5" s="1"/>
  <c r="G43" i="5" s="1"/>
  <c r="E42" i="5"/>
  <c r="F42" i="5" s="1"/>
  <c r="G42" i="5" s="1"/>
  <c r="E41" i="5"/>
  <c r="F41" i="5" s="1"/>
  <c r="G41" i="5" s="1"/>
  <c r="E40" i="5"/>
  <c r="F40" i="5" s="1"/>
  <c r="G40" i="5" s="1"/>
  <c r="E39" i="5"/>
  <c r="F39" i="5" s="1"/>
  <c r="G39" i="5" s="1"/>
  <c r="E38" i="5"/>
  <c r="F38" i="5" s="1"/>
  <c r="G38" i="5" s="1"/>
  <c r="E37" i="5"/>
  <c r="F37" i="5" s="1"/>
  <c r="G37" i="5" s="1"/>
  <c r="E36" i="5"/>
  <c r="F36" i="5" s="1"/>
  <c r="G36" i="5" s="1"/>
  <c r="E35" i="5"/>
  <c r="F35" i="5" s="1"/>
  <c r="G35" i="5" s="1"/>
  <c r="E34" i="5"/>
  <c r="F34" i="5" s="1"/>
  <c r="G34" i="5" s="1"/>
  <c r="E33" i="5"/>
  <c r="F33" i="5" s="1"/>
  <c r="G33" i="5" s="1"/>
  <c r="E32" i="5"/>
  <c r="F32" i="5" s="1"/>
  <c r="G32" i="5" s="1"/>
  <c r="E31" i="5"/>
  <c r="F31" i="5" s="1"/>
  <c r="G31" i="5" s="1"/>
  <c r="E30" i="5"/>
  <c r="F30" i="5" s="1"/>
  <c r="G30" i="5" s="1"/>
  <c r="E29" i="5"/>
  <c r="F29" i="5" s="1"/>
  <c r="G29" i="5" s="1"/>
  <c r="E28" i="5"/>
  <c r="F28" i="5" s="1"/>
  <c r="G28" i="5" s="1"/>
  <c r="E27" i="5"/>
  <c r="F27" i="5" s="1"/>
  <c r="G27" i="5" s="1"/>
  <c r="E26" i="5"/>
  <c r="F26" i="5" s="1"/>
  <c r="G26" i="5" s="1"/>
  <c r="E25" i="5"/>
  <c r="F25" i="5" s="1"/>
  <c r="G25" i="5" s="1"/>
  <c r="E24" i="5"/>
  <c r="F24" i="5" s="1"/>
  <c r="G24" i="5" s="1"/>
  <c r="E23" i="5"/>
  <c r="F23" i="5" s="1"/>
  <c r="G23" i="5" s="1"/>
  <c r="E22" i="5"/>
  <c r="F22" i="5" s="1"/>
  <c r="G22" i="5" s="1"/>
  <c r="E21" i="5"/>
  <c r="F21" i="5" s="1"/>
  <c r="G21" i="5" s="1"/>
  <c r="E20" i="5"/>
  <c r="F20" i="5" s="1"/>
  <c r="G20" i="5" s="1"/>
  <c r="E19" i="5"/>
  <c r="F19" i="5" s="1"/>
  <c r="G19" i="5" s="1"/>
  <c r="E18" i="5"/>
  <c r="F18" i="5" s="1"/>
  <c r="G18" i="5" s="1"/>
  <c r="E17" i="5"/>
  <c r="F17" i="5" s="1"/>
  <c r="G17" i="5" s="1"/>
  <c r="E16" i="5"/>
  <c r="F16" i="5" s="1"/>
  <c r="G16" i="5" s="1"/>
  <c r="E15" i="5"/>
  <c r="F15" i="5" s="1"/>
  <c r="G15" i="5" s="1"/>
  <c r="E14" i="5"/>
  <c r="F14" i="5" s="1"/>
  <c r="G14" i="5" s="1"/>
  <c r="E13" i="5"/>
  <c r="F13" i="5" s="1"/>
  <c r="G13" i="5" s="1"/>
  <c r="E12" i="5"/>
  <c r="F12" i="5" s="1"/>
  <c r="G12" i="5" s="1"/>
  <c r="E11" i="5"/>
  <c r="F11" i="5" s="1"/>
  <c r="G11" i="5" s="1"/>
  <c r="E10" i="5"/>
  <c r="F10" i="5" s="1"/>
  <c r="G10" i="5" s="1"/>
  <c r="E9" i="5"/>
  <c r="F9" i="5" s="1"/>
  <c r="G9" i="5" s="1"/>
  <c r="E8" i="5"/>
  <c r="F8" i="5" s="1"/>
  <c r="G8" i="5" s="1"/>
  <c r="E7" i="5"/>
  <c r="F7" i="5" s="1"/>
  <c r="G7" i="5" s="1"/>
  <c r="E6" i="5"/>
  <c r="F6" i="5" s="1"/>
  <c r="G6" i="5" s="1"/>
  <c r="E5" i="5"/>
  <c r="F5" i="5" s="1"/>
  <c r="G5" i="5" s="1"/>
  <c r="E4" i="5"/>
  <c r="F4" i="5" s="1"/>
  <c r="G4" i="5" s="1"/>
  <c r="E3" i="5"/>
  <c r="F3" i="5" s="1"/>
  <c r="G3" i="5" s="1"/>
  <c r="E2" i="5"/>
  <c r="F2" i="5" s="1"/>
  <c r="G2" i="5" s="1"/>
  <c r="J390" i="1"/>
  <c r="I390" i="1"/>
  <c r="J389" i="1"/>
  <c r="I389" i="1"/>
  <c r="D9" i="2"/>
  <c r="D10" i="2"/>
  <c r="D6" i="2"/>
  <c r="D7" i="2"/>
  <c r="D8" i="2"/>
  <c r="D5" i="2"/>
  <c r="D4" i="2"/>
  <c r="D3" i="2"/>
  <c r="D2" i="2"/>
  <c r="O37" i="4" s="1"/>
  <c r="Q37" i="4" s="1"/>
  <c r="D1" i="2"/>
  <c r="O2" i="4" s="1"/>
  <c r="AA395" i="1"/>
  <c r="AA392" i="1"/>
  <c r="AA119" i="1"/>
  <c r="AA116" i="1"/>
  <c r="AA72" i="1"/>
  <c r="AA291" i="1"/>
  <c r="J291" i="1"/>
  <c r="I291" i="1"/>
  <c r="AA153" i="1"/>
  <c r="J153" i="1"/>
  <c r="I153" i="1"/>
  <c r="AA39" i="1"/>
  <c r="AA8" i="1"/>
  <c r="AA5" i="1"/>
  <c r="AA2" i="1"/>
  <c r="J119" i="1"/>
  <c r="I119" i="1"/>
  <c r="J401" i="1"/>
  <c r="J398" i="1"/>
  <c r="I398" i="1"/>
  <c r="J395" i="1"/>
  <c r="I395" i="1"/>
  <c r="J392" i="1"/>
  <c r="I392" i="1"/>
  <c r="J331" i="1"/>
  <c r="I331" i="1"/>
  <c r="J286" i="1"/>
  <c r="I286" i="1"/>
  <c r="J262" i="1"/>
  <c r="I262" i="1"/>
  <c r="J259" i="1"/>
  <c r="I259" i="1"/>
  <c r="J250" i="1"/>
  <c r="I250" i="1"/>
  <c r="J192" i="1"/>
  <c r="I192" i="1"/>
  <c r="J189" i="1"/>
  <c r="I189" i="1"/>
  <c r="J179" i="1"/>
  <c r="I179" i="1"/>
  <c r="J148" i="1"/>
  <c r="I148" i="1"/>
  <c r="J116" i="1"/>
  <c r="I116" i="1"/>
  <c r="J108" i="1"/>
  <c r="I108" i="1"/>
  <c r="J75" i="1"/>
  <c r="I75" i="1"/>
  <c r="J72" i="1"/>
  <c r="I72" i="1"/>
  <c r="J64" i="1"/>
  <c r="I64" i="1"/>
  <c r="J42" i="1"/>
  <c r="I42" i="1"/>
  <c r="J39" i="1"/>
  <c r="I39" i="1"/>
  <c r="J34" i="1"/>
  <c r="I34" i="1"/>
  <c r="J31" i="1"/>
  <c r="I31" i="1"/>
  <c r="J11" i="1"/>
  <c r="I11" i="1"/>
  <c r="J8" i="1"/>
  <c r="I8" i="1"/>
  <c r="J5" i="1"/>
  <c r="I5" i="1"/>
  <c r="I2" i="1"/>
  <c r="J2" i="1"/>
  <c r="C401" i="1"/>
  <c r="C398" i="1"/>
  <c r="C395" i="1"/>
  <c r="C392" i="1"/>
  <c r="C372" i="1"/>
  <c r="C331" i="1"/>
  <c r="C326" i="1"/>
  <c r="C294" i="1"/>
  <c r="C291" i="1"/>
  <c r="C286" i="1"/>
  <c r="C265" i="1"/>
  <c r="C262" i="1"/>
  <c r="C259" i="1"/>
  <c r="C250" i="1"/>
  <c r="C205" i="1"/>
  <c r="C200" i="1"/>
  <c r="C192" i="1"/>
  <c r="C189" i="1"/>
  <c r="C179" i="1"/>
  <c r="C156" i="1"/>
  <c r="C153" i="1"/>
  <c r="C148" i="1"/>
  <c r="C128" i="1"/>
  <c r="C122" i="1"/>
  <c r="C119" i="1"/>
  <c r="C116" i="1"/>
  <c r="C108" i="1"/>
  <c r="C86" i="1"/>
  <c r="C75" i="1"/>
  <c r="C64" i="1"/>
  <c r="C42" i="1"/>
  <c r="C39" i="1"/>
  <c r="C34" i="1"/>
  <c r="C31" i="1"/>
  <c r="C11" i="1"/>
  <c r="C8" i="1"/>
  <c r="C5" i="1"/>
  <c r="C2" i="1"/>
  <c r="G44" i="5" l="1"/>
  <c r="V5" i="1"/>
  <c r="V11" i="1"/>
  <c r="W11" i="1" s="1"/>
  <c r="Y11" i="1" s="1"/>
  <c r="V34" i="1"/>
  <c r="W34" i="1" s="1"/>
  <c r="V42" i="1"/>
  <c r="W42" i="1" s="1"/>
  <c r="Y42" i="1" s="1"/>
  <c r="V72" i="1"/>
  <c r="V108" i="1"/>
  <c r="W108" i="1" s="1"/>
  <c r="Y108" i="1" s="1"/>
  <c r="V119" i="1"/>
  <c r="V153" i="1"/>
  <c r="V189" i="1"/>
  <c r="W189" i="1" s="1"/>
  <c r="Y189" i="1" s="1"/>
  <c r="V250" i="1"/>
  <c r="W250" i="1" s="1"/>
  <c r="Y250" i="1" s="1"/>
  <c r="V262" i="1"/>
  <c r="W262" i="1" s="1"/>
  <c r="Y262" i="1" s="1"/>
  <c r="V291" i="1"/>
  <c r="V392" i="1"/>
  <c r="V398" i="1"/>
  <c r="W398" i="1" s="1"/>
  <c r="Y398" i="1" s="1"/>
  <c r="V389" i="1"/>
  <c r="W389" i="1" s="1"/>
  <c r="Y389" i="1" s="1"/>
  <c r="V390" i="1"/>
  <c r="W390" i="1" s="1"/>
  <c r="Y390" i="1" s="1"/>
  <c r="V2" i="1"/>
  <c r="V8" i="1"/>
  <c r="V31" i="1"/>
  <c r="W31" i="1" s="1"/>
  <c r="Y31" i="1" s="1"/>
  <c r="V39" i="1"/>
  <c r="V64" i="1"/>
  <c r="W64" i="1" s="1"/>
  <c r="V75" i="1"/>
  <c r="W75" i="1" s="1"/>
  <c r="Y75" i="1" s="1"/>
  <c r="V116" i="1"/>
  <c r="V148" i="1"/>
  <c r="W148" i="1" s="1"/>
  <c r="Y148" i="1" s="1"/>
  <c r="V179" i="1"/>
  <c r="W179" i="1" s="1"/>
  <c r="Y179" i="1" s="1"/>
  <c r="V192" i="1"/>
  <c r="W192" i="1" s="1"/>
  <c r="Y192" i="1" s="1"/>
  <c r="V259" i="1"/>
  <c r="W259" i="1" s="1"/>
  <c r="V286" i="1"/>
  <c r="W286" i="1" s="1"/>
  <c r="Y286" i="1" s="1"/>
  <c r="V331" i="1"/>
  <c r="W331" i="1" s="1"/>
  <c r="V395" i="1"/>
  <c r="V401" i="1"/>
  <c r="W401" i="1" s="1"/>
  <c r="Y401" i="1" s="1"/>
  <c r="AA389" i="1"/>
  <c r="AA390" i="1"/>
  <c r="O36" i="4"/>
  <c r="Q36" i="4" s="1"/>
  <c r="O35" i="4"/>
  <c r="O34" i="4"/>
  <c r="O33" i="4"/>
  <c r="O32" i="4"/>
  <c r="Q32" i="4" s="1"/>
  <c r="O31" i="4"/>
  <c r="Q31" i="4" s="1"/>
  <c r="O30" i="4"/>
  <c r="Q30" i="4" s="1"/>
  <c r="O29" i="4"/>
  <c r="Q29" i="4" s="1"/>
  <c r="O28" i="4"/>
  <c r="Q28" i="4" s="1"/>
  <c r="O27" i="4"/>
  <c r="O26" i="4"/>
  <c r="Q26" i="4" s="1"/>
  <c r="O25" i="4"/>
  <c r="Q25" i="4" s="1"/>
  <c r="O24" i="4"/>
  <c r="Q24" i="4" s="1"/>
  <c r="O23" i="4"/>
  <c r="O22" i="4"/>
  <c r="Q22" i="4" s="1"/>
  <c r="O21" i="4"/>
  <c r="Q21" i="4" s="1"/>
  <c r="O20" i="4"/>
  <c r="Q20" i="4" s="1"/>
  <c r="O19" i="4"/>
  <c r="Q19" i="4" s="1"/>
  <c r="O18" i="4"/>
  <c r="Q18" i="4" s="1"/>
  <c r="O17" i="4"/>
  <c r="Q17" i="4" s="1"/>
  <c r="O16" i="4"/>
  <c r="Q16" i="4" s="1"/>
  <c r="O15" i="4"/>
  <c r="O14" i="4"/>
  <c r="Q14" i="4" s="1"/>
  <c r="O13" i="4"/>
  <c r="Q13" i="4" s="1"/>
  <c r="O12" i="4"/>
  <c r="Q12" i="4" s="1"/>
  <c r="O11" i="4"/>
  <c r="Q11" i="4" s="1"/>
  <c r="O10" i="4"/>
  <c r="Q10" i="4" s="1"/>
  <c r="O9" i="4"/>
  <c r="Q9" i="4" s="1"/>
  <c r="O8" i="4"/>
  <c r="Q8" i="4" s="1"/>
  <c r="O7" i="4"/>
  <c r="Q7" i="4" s="1"/>
  <c r="O6" i="4"/>
  <c r="Q6" i="4" s="1"/>
  <c r="O5" i="4"/>
  <c r="O4" i="4"/>
  <c r="Q4" i="4" s="1"/>
  <c r="O3" i="4"/>
  <c r="Q34" i="4"/>
  <c r="Q35" i="4"/>
  <c r="Q33" i="4"/>
  <c r="Q23" i="4"/>
  <c r="Q15" i="4"/>
  <c r="Q27" i="4"/>
  <c r="Q3" i="4"/>
  <c r="Q5" i="4"/>
  <c r="Q2" i="4"/>
  <c r="F31" i="6"/>
  <c r="R31" i="6" s="1"/>
  <c r="G7" i="6"/>
  <c r="F19" i="6"/>
  <c r="U19" i="6" s="1"/>
  <c r="F10" i="6"/>
  <c r="U10" i="6" s="1"/>
  <c r="F24" i="6"/>
  <c r="R24" i="6" s="1"/>
  <c r="R30" i="6"/>
  <c r="F7" i="6"/>
  <c r="R7" i="6" s="1"/>
  <c r="R18" i="6"/>
  <c r="AC390" i="1"/>
  <c r="AC389" i="1"/>
  <c r="AC8" i="1"/>
  <c r="AC72" i="1"/>
  <c r="AC395" i="1"/>
  <c r="AC5" i="1"/>
  <c r="AC392" i="1"/>
  <c r="AC153" i="1"/>
  <c r="AC119" i="1"/>
  <c r="AC39" i="1"/>
  <c r="AC291" i="1"/>
  <c r="AC116" i="1"/>
  <c r="AA148" i="1"/>
  <c r="AC148" i="1" s="1"/>
  <c r="AA34" i="1"/>
  <c r="AC34" i="1" s="1"/>
  <c r="Y34" i="1"/>
  <c r="AA286" i="1"/>
  <c r="AC286" i="1" s="1"/>
  <c r="AA192" i="1"/>
  <c r="AC192" i="1" s="1"/>
  <c r="AA64" i="1"/>
  <c r="AC64" i="1" s="1"/>
  <c r="Y64" i="1"/>
  <c r="AA179" i="1"/>
  <c r="AC179" i="1" s="1"/>
  <c r="AA11" i="1"/>
  <c r="AC11" i="1" s="1"/>
  <c r="AA108" i="1"/>
  <c r="AC108" i="1" s="1"/>
  <c r="AA189" i="1"/>
  <c r="AC189" i="1" s="1"/>
  <c r="AA250" i="1"/>
  <c r="AC250" i="1" s="1"/>
  <c r="AA259" i="1"/>
  <c r="AC259" i="1" s="1"/>
  <c r="AA262" i="1"/>
  <c r="AC262" i="1" s="1"/>
  <c r="AA331" i="1"/>
  <c r="AC331" i="1" s="1"/>
  <c r="AA398" i="1"/>
  <c r="AC398" i="1" s="1"/>
  <c r="AA401" i="1"/>
  <c r="AC401" i="1" s="1"/>
  <c r="AA31" i="1"/>
  <c r="AC31" i="1" s="1"/>
  <c r="AA42" i="1"/>
  <c r="AC42" i="1" s="1"/>
  <c r="AA75" i="1"/>
  <c r="AC75" i="1" s="1"/>
  <c r="Y259" i="1"/>
  <c r="Y331" i="1"/>
  <c r="AC2" i="1"/>
  <c r="U31" i="6" l="1"/>
  <c r="U24" i="6"/>
  <c r="U7" i="6"/>
  <c r="R19" i="6"/>
  <c r="R10" i="6"/>
</calcChain>
</file>

<file path=xl/sharedStrings.xml><?xml version="1.0" encoding="utf-8"?>
<sst xmlns="http://schemas.openxmlformats.org/spreadsheetml/2006/main" count="2683" uniqueCount="549">
  <si>
    <t>N1.01</t>
  </si>
  <si>
    <t>N1.02</t>
  </si>
  <si>
    <t>N1.03</t>
  </si>
  <si>
    <t>N1.04</t>
  </si>
  <si>
    <t>N1.05</t>
  </si>
  <si>
    <t>N1.06</t>
  </si>
  <si>
    <t>N1.07</t>
  </si>
  <si>
    <t>N1.08</t>
  </si>
  <si>
    <t>N1.09</t>
  </si>
  <si>
    <t>N1.10</t>
  </si>
  <si>
    <t>kotelna</t>
  </si>
  <si>
    <t>vodohospodářství</t>
  </si>
  <si>
    <t>dieselgenerátor</t>
  </si>
  <si>
    <t>šatny</t>
  </si>
  <si>
    <t>archiv</t>
  </si>
  <si>
    <t>schodiště, CHÚC B</t>
  </si>
  <si>
    <t>PBZ</t>
  </si>
  <si>
    <t>kuchyň a jídelna</t>
  </si>
  <si>
    <t>schodiště, CHÚC A</t>
  </si>
  <si>
    <t>N2.01</t>
  </si>
  <si>
    <t>N2.02</t>
  </si>
  <si>
    <t>N2.03</t>
  </si>
  <si>
    <t>N2.04</t>
  </si>
  <si>
    <t>N2.05</t>
  </si>
  <si>
    <t>N2.06</t>
  </si>
  <si>
    <t>N2.07</t>
  </si>
  <si>
    <t>N2.08</t>
  </si>
  <si>
    <t>N2.09</t>
  </si>
  <si>
    <t>N2.10</t>
  </si>
  <si>
    <t>N2.11</t>
  </si>
  <si>
    <t>N2.12</t>
  </si>
  <si>
    <t>N2.13</t>
  </si>
  <si>
    <t>kanceláře</t>
  </si>
  <si>
    <t>kantýna</t>
  </si>
  <si>
    <t>výměníková stanice</t>
  </si>
  <si>
    <t>slaboproud</t>
  </si>
  <si>
    <t>prádelna</t>
  </si>
  <si>
    <t>sklad prádla</t>
  </si>
  <si>
    <t>N3.01</t>
  </si>
  <si>
    <t>N3.02</t>
  </si>
  <si>
    <t>N3.03</t>
  </si>
  <si>
    <t>N3.04</t>
  </si>
  <si>
    <t>N3.05</t>
  </si>
  <si>
    <t>N3.06</t>
  </si>
  <si>
    <t>N3.07</t>
  </si>
  <si>
    <t>N3.08</t>
  </si>
  <si>
    <t>N3.09</t>
  </si>
  <si>
    <t>společné prostory</t>
  </si>
  <si>
    <t>jídelna</t>
  </si>
  <si>
    <t>N4.01</t>
  </si>
  <si>
    <t>N4.02</t>
  </si>
  <si>
    <t>N4.03</t>
  </si>
  <si>
    <t>N4.04</t>
  </si>
  <si>
    <t>PÚ</t>
  </si>
  <si>
    <t>Popis</t>
  </si>
  <si>
    <t>P1.01</t>
  </si>
  <si>
    <t>P1.02</t>
  </si>
  <si>
    <t>P1.03</t>
  </si>
  <si>
    <t>P1.04</t>
  </si>
  <si>
    <t>sklad</t>
  </si>
  <si>
    <t>garáž</t>
  </si>
  <si>
    <t>schodiště</t>
  </si>
  <si>
    <t>K1.01</t>
  </si>
  <si>
    <t>K1.02</t>
  </si>
  <si>
    <t>K1.03</t>
  </si>
  <si>
    <t>A1.01</t>
  </si>
  <si>
    <t>A1.02</t>
  </si>
  <si>
    <t>A1.03</t>
  </si>
  <si>
    <t>A1.04</t>
  </si>
  <si>
    <t>A1.05</t>
  </si>
  <si>
    <t>A1.06</t>
  </si>
  <si>
    <t>A1.07</t>
  </si>
  <si>
    <t>A1.08</t>
  </si>
  <si>
    <t>A1.09</t>
  </si>
  <si>
    <t>A1.10</t>
  </si>
  <si>
    <t>A1.11</t>
  </si>
  <si>
    <t>A1.12</t>
  </si>
  <si>
    <t>A1.13</t>
  </si>
  <si>
    <t>A1.14</t>
  </si>
  <si>
    <t>A1.15</t>
  </si>
  <si>
    <t>A1.16</t>
  </si>
  <si>
    <t>A1.17</t>
  </si>
  <si>
    <t>A1.18</t>
  </si>
  <si>
    <t>A1.25</t>
  </si>
  <si>
    <t>A1.23</t>
  </si>
  <si>
    <t>A1.24</t>
  </si>
  <si>
    <t>A1.19</t>
  </si>
  <si>
    <t>A1.20</t>
  </si>
  <si>
    <t>A1.21</t>
  </si>
  <si>
    <t>A1.22</t>
  </si>
  <si>
    <t>AB1.01</t>
  </si>
  <si>
    <t>AB1.02</t>
  </si>
  <si>
    <t>AB1.03</t>
  </si>
  <si>
    <t>AB1.04</t>
  </si>
  <si>
    <t>AB1.05</t>
  </si>
  <si>
    <t>AB1.06</t>
  </si>
  <si>
    <t>AB1.07</t>
  </si>
  <si>
    <t>AB1.08</t>
  </si>
  <si>
    <t>AB1.09</t>
  </si>
  <si>
    <t>AB1.10</t>
  </si>
  <si>
    <t>AB1.11</t>
  </si>
  <si>
    <t>AB1.12</t>
  </si>
  <si>
    <t>AB1.13</t>
  </si>
  <si>
    <t>AB1.14</t>
  </si>
  <si>
    <t>AB1.15</t>
  </si>
  <si>
    <t>AB1.16</t>
  </si>
  <si>
    <t>AB1.17</t>
  </si>
  <si>
    <t>AB1.18</t>
  </si>
  <si>
    <t>A2.20</t>
  </si>
  <si>
    <t>A2.21</t>
  </si>
  <si>
    <t>A2.22</t>
  </si>
  <si>
    <t>A2.23</t>
  </si>
  <si>
    <t>A2.24</t>
  </si>
  <si>
    <t>A2.25</t>
  </si>
  <si>
    <t>A2.26</t>
  </si>
  <si>
    <t>A2.27</t>
  </si>
  <si>
    <t>A2.28</t>
  </si>
  <si>
    <t>A2.01</t>
  </si>
  <si>
    <t>A2.02</t>
  </si>
  <si>
    <t>A2.03</t>
  </si>
  <si>
    <t>A2.04</t>
  </si>
  <si>
    <t>A2.05</t>
  </si>
  <si>
    <t>A2.06</t>
  </si>
  <si>
    <t>A2.07</t>
  </si>
  <si>
    <t>A2.08</t>
  </si>
  <si>
    <t>A2.09</t>
  </si>
  <si>
    <t>A2.10</t>
  </si>
  <si>
    <t>A2.30</t>
  </si>
  <si>
    <t>A2.11</t>
  </si>
  <si>
    <t>A2.12</t>
  </si>
  <si>
    <t>A2.13</t>
  </si>
  <si>
    <t>A2.14</t>
  </si>
  <si>
    <t>A2.15</t>
  </si>
  <si>
    <t>A2.16</t>
  </si>
  <si>
    <t>A2.17</t>
  </si>
  <si>
    <t>A2.18</t>
  </si>
  <si>
    <t>A2.29</t>
  </si>
  <si>
    <t>AB2.01</t>
  </si>
  <si>
    <t>AB2.02</t>
  </si>
  <si>
    <t>AB2.03</t>
  </si>
  <si>
    <t>AB2.04</t>
  </si>
  <si>
    <t>AB2.05</t>
  </si>
  <si>
    <t>AB2.06</t>
  </si>
  <si>
    <t>AB2.07</t>
  </si>
  <si>
    <t>AB2.08</t>
  </si>
  <si>
    <t>AB2.13</t>
  </si>
  <si>
    <t>AB2.14</t>
  </si>
  <si>
    <t>AB2.09</t>
  </si>
  <si>
    <t>AB2.10</t>
  </si>
  <si>
    <t>AB2.11</t>
  </si>
  <si>
    <t>AB2.12</t>
  </si>
  <si>
    <t>B1.01</t>
  </si>
  <si>
    <t>B1.02</t>
  </si>
  <si>
    <t>B1.03</t>
  </si>
  <si>
    <t>B1.04</t>
  </si>
  <si>
    <t>B1.05</t>
  </si>
  <si>
    <t>B1.06</t>
  </si>
  <si>
    <t>B1.07</t>
  </si>
  <si>
    <t>B1.08</t>
  </si>
  <si>
    <t>B1.09</t>
  </si>
  <si>
    <t>B1.10</t>
  </si>
  <si>
    <t>B1.31</t>
  </si>
  <si>
    <t>B1.32</t>
  </si>
  <si>
    <t>B1.33</t>
  </si>
  <si>
    <t>B1.34</t>
  </si>
  <si>
    <t>B1.35</t>
  </si>
  <si>
    <t>B1.36</t>
  </si>
  <si>
    <t>B1.37</t>
  </si>
  <si>
    <t>B1.41</t>
  </si>
  <si>
    <t>B1.38</t>
  </si>
  <si>
    <t>B1.39</t>
  </si>
  <si>
    <t>B1.40</t>
  </si>
  <si>
    <t>B1.11</t>
  </si>
  <si>
    <t>B1.12</t>
  </si>
  <si>
    <t>B1.13</t>
  </si>
  <si>
    <t>B1.14</t>
  </si>
  <si>
    <t>B1.15</t>
  </si>
  <si>
    <t>B1.16</t>
  </si>
  <si>
    <t>B1.17</t>
  </si>
  <si>
    <t>B1.18</t>
  </si>
  <si>
    <t>B1.19</t>
  </si>
  <si>
    <t>B1.20</t>
  </si>
  <si>
    <t>B1.21</t>
  </si>
  <si>
    <t>B1.22</t>
  </si>
  <si>
    <t>B1.23</t>
  </si>
  <si>
    <t>B1.24</t>
  </si>
  <si>
    <t>B1.25</t>
  </si>
  <si>
    <t>B1.26</t>
  </si>
  <si>
    <t>B1.27</t>
  </si>
  <si>
    <t>B1.28</t>
  </si>
  <si>
    <t>B1.29</t>
  </si>
  <si>
    <t>B1.30</t>
  </si>
  <si>
    <t>BC1.01</t>
  </si>
  <si>
    <t>BC1.02</t>
  </si>
  <si>
    <t>BC1.03</t>
  </si>
  <si>
    <t>BC1.04</t>
  </si>
  <si>
    <t>BC1.05</t>
  </si>
  <si>
    <t>BC1.06</t>
  </si>
  <si>
    <t>BC1.07</t>
  </si>
  <si>
    <t>BC1.08</t>
  </si>
  <si>
    <t>BC1.09</t>
  </si>
  <si>
    <t>BC1.10</t>
  </si>
  <si>
    <t>BC1.11</t>
  </si>
  <si>
    <t>AB3.01</t>
  </si>
  <si>
    <t>AB3.02</t>
  </si>
  <si>
    <t>AB3.03</t>
  </si>
  <si>
    <t>AB3.04</t>
  </si>
  <si>
    <t>AB3.05</t>
  </si>
  <si>
    <t>AB3.06</t>
  </si>
  <si>
    <t>AB3.07</t>
  </si>
  <si>
    <t>AB3.08</t>
  </si>
  <si>
    <t>AB3.09</t>
  </si>
  <si>
    <t>AB3.10</t>
  </si>
  <si>
    <t>AB3.11</t>
  </si>
  <si>
    <t>AB3.12</t>
  </si>
  <si>
    <t>AB3.13</t>
  </si>
  <si>
    <t>B2.01</t>
  </si>
  <si>
    <t>B2.02</t>
  </si>
  <si>
    <t>B2.03</t>
  </si>
  <si>
    <t>B2.04</t>
  </si>
  <si>
    <t>B2.05</t>
  </si>
  <si>
    <t>B2.06</t>
  </si>
  <si>
    <t>B2.07</t>
  </si>
  <si>
    <t>B2.08</t>
  </si>
  <si>
    <t>B2.09</t>
  </si>
  <si>
    <t>B2.10</t>
  </si>
  <si>
    <t>B2.11</t>
  </si>
  <si>
    <t>B2.12</t>
  </si>
  <si>
    <t>B2.13</t>
  </si>
  <si>
    <t>B2.14</t>
  </si>
  <si>
    <t>B2.15</t>
  </si>
  <si>
    <t>B2.16</t>
  </si>
  <si>
    <t>B2.17</t>
  </si>
  <si>
    <t>B2.18</t>
  </si>
  <si>
    <t>B2.19</t>
  </si>
  <si>
    <t>B2.20</t>
  </si>
  <si>
    <t>B2.21</t>
  </si>
  <si>
    <t>B2.22</t>
  </si>
  <si>
    <t>B2.23</t>
  </si>
  <si>
    <t>B2.24</t>
  </si>
  <si>
    <t>B2.25</t>
  </si>
  <si>
    <t>B2.26</t>
  </si>
  <si>
    <t>B2.27</t>
  </si>
  <si>
    <t>B2.28</t>
  </si>
  <si>
    <t>B2.29</t>
  </si>
  <si>
    <t>B2.30</t>
  </si>
  <si>
    <t>B2.31</t>
  </si>
  <si>
    <t>B2.32</t>
  </si>
  <si>
    <t>B2.33</t>
  </si>
  <si>
    <t>B2.34</t>
  </si>
  <si>
    <t>B2.35</t>
  </si>
  <si>
    <t>B2.36</t>
  </si>
  <si>
    <t>BC2.01</t>
  </si>
  <si>
    <t>BC2.02</t>
  </si>
  <si>
    <t>BC2.03</t>
  </si>
  <si>
    <t>BC2.04</t>
  </si>
  <si>
    <t>BC2.05</t>
  </si>
  <si>
    <t>BC2.06</t>
  </si>
  <si>
    <t>BC2.07</t>
  </si>
  <si>
    <t>BC2.08</t>
  </si>
  <si>
    <t>BC2.10</t>
  </si>
  <si>
    <t>BC2.09</t>
  </si>
  <si>
    <t>BC2.12</t>
  </si>
  <si>
    <t>C1.01</t>
  </si>
  <si>
    <t>C1.02</t>
  </si>
  <si>
    <t>C1.03</t>
  </si>
  <si>
    <t>C1.04</t>
  </si>
  <si>
    <t>C1.05</t>
  </si>
  <si>
    <t>C1.06</t>
  </si>
  <si>
    <t>C1.07</t>
  </si>
  <si>
    <t>C1.08</t>
  </si>
  <si>
    <t>C1.09</t>
  </si>
  <si>
    <t>C1.10</t>
  </si>
  <si>
    <t>C1.25</t>
  </si>
  <si>
    <t>C1.26</t>
  </si>
  <si>
    <t>C1.27</t>
  </si>
  <si>
    <t>C1.28</t>
  </si>
  <si>
    <t>C1.29</t>
  </si>
  <si>
    <t>C1.30</t>
  </si>
  <si>
    <t>C1.31</t>
  </si>
  <si>
    <t>C1.32</t>
  </si>
  <si>
    <t>C1.33</t>
  </si>
  <si>
    <t>C1.34</t>
  </si>
  <si>
    <t>C1.11</t>
  </si>
  <si>
    <t>C1.12</t>
  </si>
  <si>
    <t>C1.13</t>
  </si>
  <si>
    <t>C1.14</t>
  </si>
  <si>
    <t>C1.15</t>
  </si>
  <si>
    <t>C1.16</t>
  </si>
  <si>
    <t>C1.17</t>
  </si>
  <si>
    <t>C1.18</t>
  </si>
  <si>
    <t>C1.19</t>
  </si>
  <si>
    <t>C1.20</t>
  </si>
  <si>
    <t>C1.21</t>
  </si>
  <si>
    <t>C1.22</t>
  </si>
  <si>
    <t>C1.23</t>
  </si>
  <si>
    <t>C1.24</t>
  </si>
  <si>
    <t>D1.01</t>
  </si>
  <si>
    <t>D1.02</t>
  </si>
  <si>
    <t>D1.03</t>
  </si>
  <si>
    <t>D1.04</t>
  </si>
  <si>
    <t>D1.05</t>
  </si>
  <si>
    <t>D1.06</t>
  </si>
  <si>
    <t>D1.07</t>
  </si>
  <si>
    <t>D1.08</t>
  </si>
  <si>
    <t>D1.09</t>
  </si>
  <si>
    <t>D1.10</t>
  </si>
  <si>
    <t>D1.11</t>
  </si>
  <si>
    <t>D1.12</t>
  </si>
  <si>
    <t>D1.13</t>
  </si>
  <si>
    <t>D1.16</t>
  </si>
  <si>
    <t>D1.15</t>
  </si>
  <si>
    <t>D1.17</t>
  </si>
  <si>
    <t>D0.03</t>
  </si>
  <si>
    <t>D0.04</t>
  </si>
  <si>
    <t>D0.02</t>
  </si>
  <si>
    <t>D0.01</t>
  </si>
  <si>
    <t>BC3.01</t>
  </si>
  <si>
    <t>BC3.02</t>
  </si>
  <si>
    <t>BC3.03</t>
  </si>
  <si>
    <t>BC3.04</t>
  </si>
  <si>
    <t>BC3.05</t>
  </si>
  <si>
    <t>BC3.06</t>
  </si>
  <si>
    <t>BC3.08</t>
  </si>
  <si>
    <t>BC3.07</t>
  </si>
  <si>
    <t>C2.01</t>
  </si>
  <si>
    <t>C2.02</t>
  </si>
  <si>
    <t>C2.03</t>
  </si>
  <si>
    <t>C2.04</t>
  </si>
  <si>
    <t>C2.05</t>
  </si>
  <si>
    <t>C2.06</t>
  </si>
  <si>
    <t>C2.07</t>
  </si>
  <si>
    <t>C2.08</t>
  </si>
  <si>
    <t>C2.09</t>
  </si>
  <si>
    <t>C2.10</t>
  </si>
  <si>
    <t>C2.11</t>
  </si>
  <si>
    <t>C2.12</t>
  </si>
  <si>
    <t>C2.13</t>
  </si>
  <si>
    <t>C2.14</t>
  </si>
  <si>
    <t>C2.15</t>
  </si>
  <si>
    <t>C2.16</t>
  </si>
  <si>
    <t>C2.17</t>
  </si>
  <si>
    <t>C2.18</t>
  </si>
  <si>
    <t>C2.19</t>
  </si>
  <si>
    <t>C2.20</t>
  </si>
  <si>
    <t>C2.21</t>
  </si>
  <si>
    <t>C2.22</t>
  </si>
  <si>
    <t>C2.23</t>
  </si>
  <si>
    <t>C2.24</t>
  </si>
  <si>
    <t>C2.25</t>
  </si>
  <si>
    <t>C2.26</t>
  </si>
  <si>
    <t>C2.27</t>
  </si>
  <si>
    <t>C2.28</t>
  </si>
  <si>
    <t>C2.29</t>
  </si>
  <si>
    <t>C2.30</t>
  </si>
  <si>
    <t>C2.31</t>
  </si>
  <si>
    <t>C2.32</t>
  </si>
  <si>
    <t>C2.33</t>
  </si>
  <si>
    <t>C2.34</t>
  </si>
  <si>
    <t>C2.35</t>
  </si>
  <si>
    <t>D2.01</t>
  </si>
  <si>
    <t>D2.02</t>
  </si>
  <si>
    <t>D2.03</t>
  </si>
  <si>
    <t>D2.04</t>
  </si>
  <si>
    <t>D2.05</t>
  </si>
  <si>
    <t>D2.06</t>
  </si>
  <si>
    <t>D2.07</t>
  </si>
  <si>
    <t>D2.08</t>
  </si>
  <si>
    <t>D2.09</t>
  </si>
  <si>
    <t>D2.10</t>
  </si>
  <si>
    <t>D2.11</t>
  </si>
  <si>
    <t>D2.12</t>
  </si>
  <si>
    <t>D2.13</t>
  </si>
  <si>
    <t>D2.16</t>
  </si>
  <si>
    <t>D2.15</t>
  </si>
  <si>
    <t>D2.17</t>
  </si>
  <si>
    <t>A1.26</t>
  </si>
  <si>
    <t>A2.19</t>
  </si>
  <si>
    <t>BC2.11</t>
  </si>
  <si>
    <t>D2.14</t>
  </si>
  <si>
    <t>D1.14</t>
  </si>
  <si>
    <t>C1.35</t>
  </si>
  <si>
    <t>A1.27</t>
  </si>
  <si>
    <t>B1.49</t>
  </si>
  <si>
    <t>C1.36</t>
  </si>
  <si>
    <t xml:space="preserve">jídelna 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</si>
  <si>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</si>
  <si>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</si>
  <si>
    <r>
      <t>a</t>
    </r>
    <r>
      <rPr>
        <b/>
        <vertAlign val="subscript"/>
        <sz val="11"/>
        <color theme="1"/>
        <rFont val="Calibri"/>
        <family val="2"/>
        <charset val="238"/>
        <scheme val="minor"/>
      </rPr>
      <t>n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</si>
  <si>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v</t>
    </r>
  </si>
  <si>
    <t>a</t>
  </si>
  <si>
    <t>ošetř. oddělení</t>
  </si>
  <si>
    <t>-</t>
  </si>
  <si>
    <t>b</t>
  </si>
  <si>
    <t>c</t>
  </si>
  <si>
    <r>
      <t>a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</si>
  <si>
    <t>p</t>
  </si>
  <si>
    <t>k</t>
  </si>
  <si>
    <r>
      <t>S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</si>
  <si>
    <r>
      <rPr>
        <b/>
        <sz val="11"/>
        <color theme="1"/>
        <rFont val="Calibri"/>
        <family val="2"/>
        <charset val="238"/>
        <scheme val="minor"/>
      </rP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>0</t>
    </r>
  </si>
  <si>
    <r>
      <rPr>
        <b/>
        <sz val="11"/>
        <color theme="1"/>
        <rFont val="Calibri"/>
        <family val="2"/>
        <charset val="238"/>
        <scheme val="minor"/>
      </rP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</si>
  <si>
    <t>n</t>
  </si>
  <si>
    <r>
      <t>S</t>
    </r>
    <r>
      <rPr>
        <b/>
        <vertAlign val="subscript"/>
        <sz val="11"/>
        <color theme="1"/>
        <rFont val="Calibri"/>
        <family val="2"/>
        <charset val="238"/>
        <scheme val="minor"/>
      </rPr>
      <t>m</t>
    </r>
  </si>
  <si>
    <t>Okno1</t>
  </si>
  <si>
    <t>Okno2</t>
  </si>
  <si>
    <t>Okno3</t>
  </si>
  <si>
    <r>
      <t>S[m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</si>
  <si>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vzduchotechnika</t>
  </si>
  <si>
    <t>I</t>
  </si>
  <si>
    <t>II</t>
  </si>
  <si>
    <t>h</t>
  </si>
  <si>
    <t>III</t>
  </si>
  <si>
    <r>
      <t>SPB</t>
    </r>
    <r>
      <rPr>
        <b/>
        <vertAlign val="subscript"/>
        <sz val="11"/>
        <color theme="1"/>
        <rFont val="Calibri"/>
        <family val="2"/>
        <charset val="238"/>
        <scheme val="minor"/>
      </rPr>
      <t>tab</t>
    </r>
  </si>
  <si>
    <t>55x36</t>
  </si>
  <si>
    <t>100x60</t>
  </si>
  <si>
    <r>
      <t>R</t>
    </r>
    <r>
      <rPr>
        <b/>
        <vertAlign val="subscript"/>
        <sz val="11"/>
        <color theme="1"/>
        <rFont val="Calibri"/>
        <family val="2"/>
        <charset val="238"/>
        <scheme val="minor"/>
      </rPr>
      <t>max</t>
    </r>
  </si>
  <si>
    <t>70x44</t>
  </si>
  <si>
    <t>92x56</t>
  </si>
  <si>
    <t>85x52</t>
  </si>
  <si>
    <t>62x40</t>
  </si>
  <si>
    <t>19x12</t>
  </si>
  <si>
    <t>8x6</t>
  </si>
  <si>
    <t>8x3</t>
  </si>
  <si>
    <t>8x4</t>
  </si>
  <si>
    <t>5x3</t>
  </si>
  <si>
    <t>5x5</t>
  </si>
  <si>
    <t>33x18</t>
  </si>
  <si>
    <t>18x14</t>
  </si>
  <si>
    <t>23x14</t>
  </si>
  <si>
    <t>18x8</t>
  </si>
  <si>
    <t>7x5</t>
  </si>
  <si>
    <t>3x2</t>
  </si>
  <si>
    <t>18x18</t>
  </si>
  <si>
    <t>14x3</t>
  </si>
  <si>
    <t>20x5</t>
  </si>
  <si>
    <t>6x5</t>
  </si>
  <si>
    <t>14x9</t>
  </si>
  <si>
    <t>18x9</t>
  </si>
  <si>
    <t>50x17</t>
  </si>
  <si>
    <t>24x8</t>
  </si>
  <si>
    <t>9x4</t>
  </si>
  <si>
    <t>36x14</t>
  </si>
  <si>
    <t>20x8</t>
  </si>
  <si>
    <t>9x8</t>
  </si>
  <si>
    <t>6x6</t>
  </si>
  <si>
    <t>10x7</t>
  </si>
  <si>
    <t>Rozměry</t>
  </si>
  <si>
    <t>OK</t>
  </si>
  <si>
    <t>Požární stěny</t>
  </si>
  <si>
    <t>Požární uzávěry</t>
  </si>
  <si>
    <t>30 DP1</t>
  </si>
  <si>
    <t>Nosné konstrukce</t>
  </si>
  <si>
    <t>Obvodové stěny</t>
  </si>
  <si>
    <t>Výtahové šachty</t>
  </si>
  <si>
    <t>Konstrukce střechy</t>
  </si>
  <si>
    <t>45 DP1</t>
  </si>
  <si>
    <t>60 DP1</t>
  </si>
  <si>
    <t>30 DP2</t>
  </si>
  <si>
    <t>18x12</t>
  </si>
  <si>
    <t>8x8</t>
  </si>
  <si>
    <t>N5.01</t>
  </si>
  <si>
    <t>N5.02</t>
  </si>
  <si>
    <t>strojovna os.výtahu</t>
  </si>
  <si>
    <t>strojovna ev.výtahu</t>
  </si>
  <si>
    <t>Dveře4</t>
  </si>
  <si>
    <t>Okno6</t>
  </si>
  <si>
    <t>Okno7</t>
  </si>
  <si>
    <t>Okno8</t>
  </si>
  <si>
    <t>n      okno1</t>
  </si>
  <si>
    <t>n   okno2</t>
  </si>
  <si>
    <t>n   okno3</t>
  </si>
  <si>
    <t>n   dveře4</t>
  </si>
  <si>
    <t>n  dveře5</t>
  </si>
  <si>
    <t>n      okno6</t>
  </si>
  <si>
    <t>n      okno7</t>
  </si>
  <si>
    <t>n      okno8</t>
  </si>
  <si>
    <t>Dveře9</t>
  </si>
  <si>
    <t>Dveře5</t>
  </si>
  <si>
    <t>Dveře10</t>
  </si>
  <si>
    <t>n   dveře9</t>
  </si>
  <si>
    <t>n   dveře10</t>
  </si>
  <si>
    <t>1 podl.</t>
  </si>
  <si>
    <t>56x38</t>
  </si>
  <si>
    <t>50x35</t>
  </si>
  <si>
    <t>Lůžka</t>
  </si>
  <si>
    <r>
      <t>L&lt;L</t>
    </r>
    <r>
      <rPr>
        <b/>
        <vertAlign val="subscript"/>
        <sz val="11"/>
        <color theme="1"/>
        <rFont val="Calibri"/>
        <family val="2"/>
        <charset val="238"/>
        <scheme val="minor"/>
      </rPr>
      <t>max</t>
    </r>
  </si>
  <si>
    <t>vyhovuje</t>
  </si>
  <si>
    <t>K</t>
  </si>
  <si>
    <t>s1</t>
  </si>
  <si>
    <t>s2</t>
  </si>
  <si>
    <t>s3</t>
  </si>
  <si>
    <t>Šířka</t>
  </si>
  <si>
    <t>Rozměry CHÚC</t>
  </si>
  <si>
    <t>114/207</t>
  </si>
  <si>
    <t>0,9/1/1,1</t>
  </si>
  <si>
    <t>1,5/2</t>
  </si>
  <si>
    <t>1,25/1,55</t>
  </si>
  <si>
    <t>2/2,5</t>
  </si>
  <si>
    <t>46/41</t>
  </si>
  <si>
    <t>1,6/1,7</t>
  </si>
  <si>
    <t>2,5/3</t>
  </si>
  <si>
    <t>1,25/1,65/1,7</t>
  </si>
  <si>
    <t>2/3</t>
  </si>
  <si>
    <t>1,55/1,6</t>
  </si>
  <si>
    <t>1,25/1,3/1,55</t>
  </si>
  <si>
    <t>1,3/1,6</t>
  </si>
  <si>
    <t>osoby s omezenou schopností pohybu</t>
  </si>
  <si>
    <t>osoby neschopné samostat. pohybu</t>
  </si>
  <si>
    <t>osoby schopné samostat. pohybu</t>
  </si>
  <si>
    <t xml:space="preserve">Minimálně pruhů  </t>
  </si>
  <si>
    <t>Šířka    [pruhů]</t>
  </si>
  <si>
    <t>Šířka               [m]</t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</si>
  <si>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r</t>
    </r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</si>
  <si>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hj</t>
    </r>
  </si>
  <si>
    <t>počet HP  21A/113B</t>
  </si>
  <si>
    <t>n      okno2</t>
  </si>
  <si>
    <t>n      okno3</t>
  </si>
  <si>
    <r>
      <t>S</t>
    </r>
    <r>
      <rPr>
        <b/>
        <vertAlign val="subscript"/>
        <sz val="11"/>
        <color theme="1"/>
        <rFont val="Calibri"/>
        <family val="2"/>
        <charset val="238"/>
        <scheme val="minor"/>
      </rPr>
      <t>po</t>
    </r>
    <r>
      <rPr>
        <b/>
        <sz val="11"/>
        <color theme="1"/>
        <rFont val="Calibri"/>
        <family val="2"/>
        <charset val="238"/>
        <scheme val="minor"/>
      </rPr>
      <t xml:space="preserve">        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</si>
  <si>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S</t>
    </r>
    <r>
      <rPr>
        <b/>
        <vertAlign val="subscript"/>
        <sz val="11"/>
        <color theme="1"/>
        <rFont val="Calibri"/>
        <family val="2"/>
        <charset val="238"/>
        <scheme val="minor"/>
      </rPr>
      <t>p</t>
    </r>
    <r>
      <rPr>
        <b/>
        <sz val="11"/>
        <color theme="1"/>
        <rFont val="Calibri"/>
        <family val="2"/>
        <charset val="238"/>
        <scheme val="minor"/>
      </rPr>
      <t xml:space="preserve">        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</si>
  <si>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Odstupová vzdálenost</t>
  </si>
  <si>
    <t>2,0x1,5</t>
  </si>
  <si>
    <t>2,0x2,5</t>
  </si>
  <si>
    <t>2,0x2,0</t>
  </si>
  <si>
    <t>1,0x1,5</t>
  </si>
  <si>
    <t>1,0x1,0</t>
  </si>
  <si>
    <t>l=9m</t>
  </si>
  <si>
    <t>Odstup sálání tepla</t>
  </si>
  <si>
    <t>Odstup padání</t>
  </si>
  <si>
    <t>SPB</t>
  </si>
  <si>
    <t>Konstrukční systém</t>
  </si>
  <si>
    <t>nehořlavý</t>
  </si>
  <si>
    <t>smíšený</t>
  </si>
  <si>
    <t>Počet podlaží</t>
  </si>
  <si>
    <r>
      <rPr>
        <b/>
        <sz val="11"/>
        <color theme="1"/>
        <rFont val="Calibri"/>
        <family val="2"/>
        <charset val="238"/>
        <scheme val="minor"/>
      </rP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o</t>
    </r>
  </si>
  <si>
    <t>Otvor     nebo délka</t>
  </si>
  <si>
    <r>
      <t>Minimální rozměry CHÚC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</si>
  <si>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L       [m]</t>
  </si>
  <si>
    <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max   </t>
    </r>
    <r>
      <rPr>
        <b/>
        <sz val="11"/>
        <color theme="1"/>
        <rFont val="Calibri"/>
        <family val="2"/>
        <charset val="238"/>
        <scheme val="minor"/>
      </rPr>
      <t xml:space="preserve"> [m]</t>
    </r>
  </si>
  <si>
    <t>Výpočet [pruhů]</t>
  </si>
  <si>
    <t>Celkem</t>
  </si>
  <si>
    <t>Stropní konstrukce</t>
  </si>
  <si>
    <t>R</t>
  </si>
  <si>
    <r>
      <t>R&lt;R</t>
    </r>
    <r>
      <rPr>
        <b/>
        <vertAlign val="subscript"/>
        <sz val="11"/>
        <color theme="1"/>
        <rFont val="Calibri"/>
        <family val="2"/>
        <charset val="238"/>
        <scheme val="minor"/>
      </rPr>
      <t>max</t>
    </r>
  </si>
  <si>
    <r>
      <t>S[m</t>
    </r>
    <r>
      <rPr>
        <b/>
        <vertAlign val="superscript"/>
        <sz val="9"/>
        <color theme="1"/>
        <rFont val="Calibri"/>
        <family val="2"/>
        <charset val="238"/>
        <scheme val="minor"/>
      </rPr>
      <t>2</t>
    </r>
    <r>
      <rPr>
        <b/>
        <sz val="9"/>
        <color theme="1"/>
        <rFont val="Calibri"/>
        <family val="2"/>
        <charset val="238"/>
        <scheme val="minor"/>
      </rPr>
      <t>]</t>
    </r>
  </si>
  <si>
    <t>IV</t>
  </si>
  <si>
    <t>90 DP1</t>
  </si>
  <si>
    <t>20x4</t>
  </si>
  <si>
    <t>42x14</t>
  </si>
  <si>
    <t>52/51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</si>
</sst>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vertAlign val="superscript"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165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4" borderId="0" xfId="0" applyFill="1" applyAlignment="1">
      <alignment horizontal="center"/>
    </xf>
    <xf numFmtId="1" fontId="0" fillId="0" borderId="0" xfId="0" applyNumberFormat="1"/>
    <xf numFmtId="1" fontId="0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 wrapText="1"/>
    </xf>
    <xf numFmtId="9" fontId="0" fillId="0" borderId="0" xfId="1" applyFont="1" applyFill="1" applyAlignment="1">
      <alignment horizontal="center"/>
    </xf>
    <xf numFmtId="165" fontId="0" fillId="0" borderId="0" xfId="1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65" fontId="0" fillId="0" borderId="0" xfId="0" quotePrefix="1" applyNumberFormat="1" applyFill="1" applyAlignment="1">
      <alignment horizontal="center"/>
    </xf>
    <xf numFmtId="0" fontId="0" fillId="0" borderId="0" xfId="0" applyFill="1"/>
    <xf numFmtId="0" fontId="8" fillId="4" borderId="0" xfId="0" applyFont="1" applyFill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1" fontId="11" fillId="0" borderId="0" xfId="0" applyNumberFormat="1" applyFont="1" applyFill="1" applyAlignment="1">
      <alignment horizontal="center"/>
    </xf>
    <xf numFmtId="0" fontId="11" fillId="0" borderId="0" xfId="0" applyFont="1"/>
    <xf numFmtId="0" fontId="8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" fontId="11" fillId="0" borderId="0" xfId="0" applyNumberFormat="1" applyFont="1" applyAlignment="1">
      <alignment horizontal="center"/>
    </xf>
    <xf numFmtId="0" fontId="0" fillId="0" borderId="0" xfId="0" applyFill="1" applyAlignment="1">
      <alignment horizontal="right"/>
    </xf>
    <xf numFmtId="1" fontId="0" fillId="0" borderId="0" xfId="0" quotePrefix="1" applyNumberForma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" fontId="0" fillId="0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5" fontId="0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1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>
      <selection activeCell="A44" sqref="A44"/>
    </sheetView>
  </sheetViews>
  <sheetFormatPr defaultRowHeight="15" x14ac:dyDescent="0.25"/>
  <cols>
    <col min="1" max="1" width="7.7109375" customWidth="1"/>
    <col min="2" max="2" width="19.28515625" customWidth="1"/>
    <col min="3" max="5" width="6.5703125" customWidth="1"/>
    <col min="6" max="6" width="12" customWidth="1"/>
    <col min="7" max="7" width="9.7109375" style="32" customWidth="1"/>
  </cols>
  <sheetData>
    <row r="1" spans="1:9" ht="30" x14ac:dyDescent="0.25">
      <c r="A1" s="23" t="s">
        <v>53</v>
      </c>
      <c r="B1" s="23" t="s">
        <v>54</v>
      </c>
      <c r="C1" s="23" t="s">
        <v>406</v>
      </c>
      <c r="D1" s="23" t="s">
        <v>541</v>
      </c>
      <c r="E1" s="24" t="s">
        <v>390</v>
      </c>
      <c r="F1" s="29" t="s">
        <v>529</v>
      </c>
      <c r="G1" s="29" t="s">
        <v>532</v>
      </c>
      <c r="H1" s="23" t="s">
        <v>415</v>
      </c>
      <c r="I1" s="23" t="s">
        <v>542</v>
      </c>
    </row>
    <row r="2" spans="1:9" x14ac:dyDescent="0.25">
      <c r="A2" s="35" t="s">
        <v>0</v>
      </c>
      <c r="B2" s="14" t="s">
        <v>10</v>
      </c>
      <c r="C2" s="33">
        <v>41.71</v>
      </c>
      <c r="D2" s="15" t="s">
        <v>421</v>
      </c>
      <c r="E2" s="17">
        <v>1.05</v>
      </c>
      <c r="F2" s="21" t="s">
        <v>530</v>
      </c>
      <c r="G2" s="21">
        <v>1</v>
      </c>
      <c r="H2" s="3" t="s">
        <v>413</v>
      </c>
      <c r="I2" s="3" t="s">
        <v>486</v>
      </c>
    </row>
    <row r="3" spans="1:9" x14ac:dyDescent="0.25">
      <c r="A3" s="35" t="s">
        <v>1</v>
      </c>
      <c r="B3" s="14" t="s">
        <v>11</v>
      </c>
      <c r="C3" s="33">
        <v>22</v>
      </c>
      <c r="D3" s="15" t="s">
        <v>422</v>
      </c>
      <c r="E3" s="17">
        <v>0.5</v>
      </c>
      <c r="F3" s="21" t="s">
        <v>530</v>
      </c>
      <c r="G3" s="21">
        <v>1</v>
      </c>
      <c r="H3" s="3" t="s">
        <v>414</v>
      </c>
      <c r="I3" s="3" t="s">
        <v>486</v>
      </c>
    </row>
    <row r="4" spans="1:9" x14ac:dyDescent="0.25">
      <c r="A4" s="35" t="s">
        <v>2</v>
      </c>
      <c r="B4" s="14" t="s">
        <v>12</v>
      </c>
      <c r="C4" s="33">
        <v>28</v>
      </c>
      <c r="D4" s="15" t="s">
        <v>423</v>
      </c>
      <c r="E4" s="17">
        <v>0.9</v>
      </c>
      <c r="F4" s="21" t="s">
        <v>530</v>
      </c>
      <c r="G4" s="21">
        <v>1</v>
      </c>
      <c r="H4" s="3" t="s">
        <v>416</v>
      </c>
      <c r="I4" s="3" t="s">
        <v>486</v>
      </c>
    </row>
    <row r="5" spans="1:9" x14ac:dyDescent="0.25">
      <c r="A5" s="35" t="s">
        <v>3</v>
      </c>
      <c r="B5" s="14" t="s">
        <v>13</v>
      </c>
      <c r="C5" s="33">
        <v>169.53</v>
      </c>
      <c r="D5" s="15" t="s">
        <v>458</v>
      </c>
      <c r="E5" s="17">
        <v>0.99090909090909096</v>
      </c>
      <c r="F5" s="21" t="s">
        <v>530</v>
      </c>
      <c r="G5" s="21">
        <v>2</v>
      </c>
      <c r="H5" s="3" t="s">
        <v>413</v>
      </c>
      <c r="I5" s="3" t="s">
        <v>486</v>
      </c>
    </row>
    <row r="6" spans="1:9" x14ac:dyDescent="0.25">
      <c r="A6" s="35" t="s">
        <v>4</v>
      </c>
      <c r="B6" s="14" t="s">
        <v>14</v>
      </c>
      <c r="C6" s="33">
        <v>20.68</v>
      </c>
      <c r="D6" s="15" t="s">
        <v>425</v>
      </c>
      <c r="E6" s="17">
        <v>0.70799999999999996</v>
      </c>
      <c r="F6" s="21" t="s">
        <v>530</v>
      </c>
      <c r="G6" s="21">
        <v>2</v>
      </c>
      <c r="H6" s="3" t="s">
        <v>418</v>
      </c>
      <c r="I6" s="3" t="s">
        <v>486</v>
      </c>
    </row>
    <row r="7" spans="1:9" x14ac:dyDescent="0.25">
      <c r="A7" s="35" t="s">
        <v>5</v>
      </c>
      <c r="B7" s="14" t="s">
        <v>15</v>
      </c>
      <c r="C7" s="33">
        <v>49.63</v>
      </c>
      <c r="D7" s="15" t="s">
        <v>433</v>
      </c>
      <c r="E7" s="17">
        <v>0.85</v>
      </c>
      <c r="F7" s="21" t="s">
        <v>530</v>
      </c>
      <c r="G7" s="21">
        <v>2</v>
      </c>
      <c r="H7" s="3" t="s">
        <v>482</v>
      </c>
      <c r="I7" s="3" t="s">
        <v>486</v>
      </c>
    </row>
    <row r="8" spans="1:9" x14ac:dyDescent="0.25">
      <c r="A8" s="35" t="s">
        <v>6</v>
      </c>
      <c r="B8" s="14" t="s">
        <v>16</v>
      </c>
      <c r="C8" s="33">
        <v>10.6</v>
      </c>
      <c r="D8" s="15" t="s">
        <v>424</v>
      </c>
      <c r="E8" s="17">
        <v>0.9</v>
      </c>
      <c r="F8" s="21" t="s">
        <v>530</v>
      </c>
      <c r="G8" s="21">
        <v>2</v>
      </c>
      <c r="H8" s="3" t="s">
        <v>416</v>
      </c>
      <c r="I8" s="3" t="s">
        <v>486</v>
      </c>
    </row>
    <row r="9" spans="1:9" x14ac:dyDescent="0.25">
      <c r="A9" s="35" t="s">
        <v>7</v>
      </c>
      <c r="B9" s="14" t="s">
        <v>17</v>
      </c>
      <c r="C9" s="33">
        <v>321.20000000000005</v>
      </c>
      <c r="D9" s="15" t="s">
        <v>426</v>
      </c>
      <c r="E9" s="17">
        <v>0.94285714285714284</v>
      </c>
      <c r="F9" s="21" t="s">
        <v>530</v>
      </c>
      <c r="G9" s="21">
        <v>3</v>
      </c>
      <c r="H9" s="15" t="s">
        <v>416</v>
      </c>
      <c r="I9" s="3" t="s">
        <v>486</v>
      </c>
    </row>
    <row r="10" spans="1:9" x14ac:dyDescent="0.25">
      <c r="A10" s="35" t="s">
        <v>8</v>
      </c>
      <c r="B10" s="14" t="s">
        <v>18</v>
      </c>
      <c r="C10" s="33">
        <v>158.12</v>
      </c>
      <c r="D10" s="15" t="s">
        <v>432</v>
      </c>
      <c r="E10" s="17">
        <v>0.85</v>
      </c>
      <c r="F10" s="21" t="s">
        <v>530</v>
      </c>
      <c r="G10" s="21">
        <v>3</v>
      </c>
      <c r="H10" s="3" t="s">
        <v>482</v>
      </c>
      <c r="I10" s="3" t="s">
        <v>486</v>
      </c>
    </row>
    <row r="11" spans="1:9" x14ac:dyDescent="0.25">
      <c r="A11" s="35" t="s">
        <v>9</v>
      </c>
      <c r="B11" s="14" t="s">
        <v>407</v>
      </c>
      <c r="C11" s="33">
        <v>20.54</v>
      </c>
      <c r="D11" s="15" t="s">
        <v>422</v>
      </c>
      <c r="E11" s="17">
        <v>0.9</v>
      </c>
      <c r="F11" s="21" t="s">
        <v>530</v>
      </c>
      <c r="G11" s="21">
        <v>1</v>
      </c>
      <c r="H11" s="15" t="s">
        <v>416</v>
      </c>
      <c r="I11" s="3" t="s">
        <v>486</v>
      </c>
    </row>
    <row r="12" spans="1:9" x14ac:dyDescent="0.25">
      <c r="A12" s="35" t="s">
        <v>19</v>
      </c>
      <c r="B12" s="14" t="s">
        <v>32</v>
      </c>
      <c r="C12" s="33">
        <v>172.32</v>
      </c>
      <c r="D12" s="15" t="s">
        <v>427</v>
      </c>
      <c r="E12" s="17">
        <v>0.98888888888888893</v>
      </c>
      <c r="F12" s="21" t="s">
        <v>531</v>
      </c>
      <c r="G12" s="21">
        <v>2</v>
      </c>
      <c r="H12" s="15" t="s">
        <v>483</v>
      </c>
      <c r="I12" s="3" t="s">
        <v>486</v>
      </c>
    </row>
    <row r="13" spans="1:9" x14ac:dyDescent="0.25">
      <c r="A13" s="35" t="s">
        <v>20</v>
      </c>
      <c r="B13" s="14" t="s">
        <v>391</v>
      </c>
      <c r="C13" s="33">
        <v>238.32999999999996</v>
      </c>
      <c r="D13" s="15" t="s">
        <v>428</v>
      </c>
      <c r="E13" s="22">
        <v>0.9</v>
      </c>
      <c r="F13" s="21" t="s">
        <v>531</v>
      </c>
      <c r="G13" s="21">
        <v>2</v>
      </c>
      <c r="H13" s="3" t="s">
        <v>482</v>
      </c>
      <c r="I13" s="3" t="s">
        <v>486</v>
      </c>
    </row>
    <row r="14" spans="1:9" x14ac:dyDescent="0.25">
      <c r="A14" s="35" t="s">
        <v>21</v>
      </c>
      <c r="B14" s="14" t="s">
        <v>33</v>
      </c>
      <c r="C14" s="33">
        <v>86.99</v>
      </c>
      <c r="D14" s="15" t="s">
        <v>429</v>
      </c>
      <c r="E14" s="17">
        <v>0.9</v>
      </c>
      <c r="F14" s="21" t="s">
        <v>530</v>
      </c>
      <c r="G14" s="21">
        <v>3</v>
      </c>
      <c r="H14" s="15" t="s">
        <v>416</v>
      </c>
      <c r="I14" s="3" t="s">
        <v>486</v>
      </c>
    </row>
    <row r="15" spans="1:9" x14ac:dyDescent="0.25">
      <c r="A15" s="35" t="s">
        <v>22</v>
      </c>
      <c r="B15" s="14" t="s">
        <v>34</v>
      </c>
      <c r="C15" s="33">
        <v>24.08</v>
      </c>
      <c r="D15" s="15" t="s">
        <v>430</v>
      </c>
      <c r="E15" s="17">
        <v>0.7</v>
      </c>
      <c r="F15" s="21" t="s">
        <v>530</v>
      </c>
      <c r="G15" s="21">
        <v>3</v>
      </c>
      <c r="H15" s="15" t="s">
        <v>418</v>
      </c>
      <c r="I15" s="3" t="s">
        <v>486</v>
      </c>
    </row>
    <row r="16" spans="1:9" x14ac:dyDescent="0.25">
      <c r="A16" s="35" t="s">
        <v>23</v>
      </c>
      <c r="B16" s="14" t="s">
        <v>35</v>
      </c>
      <c r="C16" s="33">
        <v>2.65</v>
      </c>
      <c r="D16" s="15" t="s">
        <v>431</v>
      </c>
      <c r="E16" s="17">
        <v>0.99375000000000002</v>
      </c>
      <c r="F16" s="21" t="s">
        <v>530</v>
      </c>
      <c r="G16" s="21">
        <v>3</v>
      </c>
      <c r="H16" s="15" t="s">
        <v>419</v>
      </c>
      <c r="I16" s="3" t="s">
        <v>486</v>
      </c>
    </row>
    <row r="17" spans="1:9" x14ac:dyDescent="0.25">
      <c r="A17" s="35" t="s">
        <v>24</v>
      </c>
      <c r="B17" s="14" t="s">
        <v>391</v>
      </c>
      <c r="C17" s="33">
        <v>55.820000000000007</v>
      </c>
      <c r="D17" s="15" t="s">
        <v>459</v>
      </c>
      <c r="E17" s="22">
        <v>0.9</v>
      </c>
      <c r="F17" s="21" t="s">
        <v>530</v>
      </c>
      <c r="G17" s="21">
        <v>3.4</v>
      </c>
      <c r="H17" s="15" t="s">
        <v>416</v>
      </c>
      <c r="I17" s="3" t="s">
        <v>486</v>
      </c>
    </row>
    <row r="18" spans="1:9" x14ac:dyDescent="0.25">
      <c r="A18" s="35" t="s">
        <v>25</v>
      </c>
      <c r="B18" s="14" t="s">
        <v>391</v>
      </c>
      <c r="C18" s="33">
        <v>193.43</v>
      </c>
      <c r="D18" s="15" t="s">
        <v>427</v>
      </c>
      <c r="E18" s="22">
        <v>0.9</v>
      </c>
      <c r="F18" s="21" t="s">
        <v>530</v>
      </c>
      <c r="G18" s="21">
        <v>2</v>
      </c>
      <c r="H18" s="15" t="s">
        <v>416</v>
      </c>
      <c r="I18" s="3" t="s">
        <v>486</v>
      </c>
    </row>
    <row r="19" spans="1:9" x14ac:dyDescent="0.25">
      <c r="A19" s="35" t="s">
        <v>26</v>
      </c>
      <c r="B19" s="14" t="s">
        <v>15</v>
      </c>
      <c r="C19" s="33">
        <v>50.85</v>
      </c>
      <c r="D19" s="15" t="s">
        <v>433</v>
      </c>
      <c r="E19" s="17">
        <v>0.85</v>
      </c>
      <c r="F19" s="21" t="s">
        <v>530</v>
      </c>
      <c r="G19" s="21">
        <v>2</v>
      </c>
      <c r="H19" s="3" t="s">
        <v>482</v>
      </c>
      <c r="I19" s="3" t="s">
        <v>486</v>
      </c>
    </row>
    <row r="20" spans="1:9" x14ac:dyDescent="0.25">
      <c r="A20" s="35" t="s">
        <v>27</v>
      </c>
      <c r="B20" s="14" t="s">
        <v>16</v>
      </c>
      <c r="C20" s="33">
        <v>10.6</v>
      </c>
      <c r="D20" s="15" t="s">
        <v>424</v>
      </c>
      <c r="E20" s="17">
        <v>0.9</v>
      </c>
      <c r="F20" s="21" t="s">
        <v>530</v>
      </c>
      <c r="G20" s="21">
        <v>2</v>
      </c>
      <c r="H20" s="15" t="s">
        <v>416</v>
      </c>
      <c r="I20" s="3" t="s">
        <v>486</v>
      </c>
    </row>
    <row r="21" spans="1:9" x14ac:dyDescent="0.25">
      <c r="A21" s="35" t="s">
        <v>28</v>
      </c>
      <c r="B21" s="14" t="s">
        <v>391</v>
      </c>
      <c r="C21" s="33">
        <v>192.98000000000002</v>
      </c>
      <c r="D21" s="15" t="s">
        <v>427</v>
      </c>
      <c r="E21" s="22">
        <v>0.9</v>
      </c>
      <c r="F21" s="21" t="s">
        <v>530</v>
      </c>
      <c r="G21" s="21">
        <v>2</v>
      </c>
      <c r="H21" s="15" t="s">
        <v>416</v>
      </c>
      <c r="I21" s="3" t="s">
        <v>486</v>
      </c>
    </row>
    <row r="22" spans="1:9" x14ac:dyDescent="0.25">
      <c r="A22" s="35" t="s">
        <v>29</v>
      </c>
      <c r="B22" s="14" t="s">
        <v>36</v>
      </c>
      <c r="C22" s="33">
        <v>110.52999999999999</v>
      </c>
      <c r="D22" s="15" t="s">
        <v>434</v>
      </c>
      <c r="E22" s="17">
        <v>0.98750000000000004</v>
      </c>
      <c r="F22" s="21" t="s">
        <v>530</v>
      </c>
      <c r="G22" s="21">
        <v>3</v>
      </c>
      <c r="H22" s="15" t="s">
        <v>419</v>
      </c>
      <c r="I22" s="3" t="s">
        <v>486</v>
      </c>
    </row>
    <row r="23" spans="1:9" x14ac:dyDescent="0.25">
      <c r="A23" s="35" t="s">
        <v>30</v>
      </c>
      <c r="B23" s="14" t="s">
        <v>37</v>
      </c>
      <c r="C23" s="33">
        <v>23.79</v>
      </c>
      <c r="D23" s="15" t="s">
        <v>435</v>
      </c>
      <c r="E23" s="17">
        <v>1.046103896103896</v>
      </c>
      <c r="F23" s="21" t="s">
        <v>530</v>
      </c>
      <c r="G23" s="21">
        <v>1</v>
      </c>
      <c r="H23" s="15" t="s">
        <v>419</v>
      </c>
      <c r="I23" s="3" t="s">
        <v>486</v>
      </c>
    </row>
    <row r="24" spans="1:9" x14ac:dyDescent="0.25">
      <c r="A24" s="35" t="s">
        <v>31</v>
      </c>
      <c r="B24" s="14" t="s">
        <v>15</v>
      </c>
      <c r="C24" s="33">
        <v>158.75</v>
      </c>
      <c r="D24" s="15" t="s">
        <v>437</v>
      </c>
      <c r="E24" s="17">
        <v>0.85</v>
      </c>
      <c r="F24" s="21" t="s">
        <v>530</v>
      </c>
      <c r="G24" s="21">
        <v>3</v>
      </c>
      <c r="H24" s="3" t="s">
        <v>482</v>
      </c>
      <c r="I24" s="3" t="s">
        <v>486</v>
      </c>
    </row>
    <row r="25" spans="1:9" x14ac:dyDescent="0.25">
      <c r="A25" s="35" t="s">
        <v>38</v>
      </c>
      <c r="B25" s="14" t="s">
        <v>391</v>
      </c>
      <c r="C25" s="33">
        <v>57.28</v>
      </c>
      <c r="D25" s="15" t="s">
        <v>436</v>
      </c>
      <c r="E25" s="22">
        <v>0.9</v>
      </c>
      <c r="F25" s="21" t="s">
        <v>531</v>
      </c>
      <c r="G25" s="21">
        <v>3</v>
      </c>
      <c r="H25" s="3" t="s">
        <v>482</v>
      </c>
      <c r="I25" s="3" t="s">
        <v>486</v>
      </c>
    </row>
    <row r="26" spans="1:9" x14ac:dyDescent="0.25">
      <c r="A26" s="35" t="s">
        <v>39</v>
      </c>
      <c r="B26" s="14" t="s">
        <v>391</v>
      </c>
      <c r="C26" s="33">
        <v>504.3900000000001</v>
      </c>
      <c r="D26" s="15" t="s">
        <v>438</v>
      </c>
      <c r="E26" s="22">
        <v>0.9</v>
      </c>
      <c r="F26" s="21" t="s">
        <v>531</v>
      </c>
      <c r="G26" s="21">
        <v>2</v>
      </c>
      <c r="H26" s="3" t="s">
        <v>482</v>
      </c>
      <c r="I26" s="3" t="s">
        <v>486</v>
      </c>
    </row>
    <row r="27" spans="1:9" x14ac:dyDescent="0.25">
      <c r="A27" s="35" t="s">
        <v>40</v>
      </c>
      <c r="B27" s="14" t="s">
        <v>47</v>
      </c>
      <c r="C27" s="33">
        <v>103</v>
      </c>
      <c r="D27" s="15" t="s">
        <v>439</v>
      </c>
      <c r="E27" s="17">
        <v>0.6333333333333333</v>
      </c>
      <c r="F27" s="21" t="s">
        <v>530</v>
      </c>
      <c r="G27" s="21">
        <v>3</v>
      </c>
      <c r="H27" s="15" t="s">
        <v>417</v>
      </c>
      <c r="I27" s="3" t="s">
        <v>486</v>
      </c>
    </row>
    <row r="28" spans="1:9" x14ac:dyDescent="0.25">
      <c r="A28" s="35" t="s">
        <v>41</v>
      </c>
      <c r="B28" s="14" t="s">
        <v>34</v>
      </c>
      <c r="C28" s="33">
        <v>25.82</v>
      </c>
      <c r="D28" s="15" t="s">
        <v>440</v>
      </c>
      <c r="E28" s="17">
        <v>0.7</v>
      </c>
      <c r="F28" s="21" t="s">
        <v>530</v>
      </c>
      <c r="G28" s="21">
        <v>2</v>
      </c>
      <c r="H28" s="15" t="s">
        <v>418</v>
      </c>
      <c r="I28" s="3" t="s">
        <v>486</v>
      </c>
    </row>
    <row r="29" spans="1:9" x14ac:dyDescent="0.25">
      <c r="A29" s="35" t="s">
        <v>42</v>
      </c>
      <c r="B29" s="14" t="s">
        <v>48</v>
      </c>
      <c r="C29" s="33">
        <v>29.75</v>
      </c>
      <c r="D29" s="15" t="s">
        <v>440</v>
      </c>
      <c r="E29" s="17">
        <v>0.9</v>
      </c>
      <c r="F29" s="21" t="s">
        <v>530</v>
      </c>
      <c r="G29" s="21">
        <v>2</v>
      </c>
      <c r="H29" s="15" t="s">
        <v>416</v>
      </c>
      <c r="I29" s="3" t="s">
        <v>486</v>
      </c>
    </row>
    <row r="30" spans="1:9" x14ac:dyDescent="0.25">
      <c r="A30" s="35" t="s">
        <v>43</v>
      </c>
      <c r="B30" s="14" t="s">
        <v>391</v>
      </c>
      <c r="C30" s="33">
        <v>203</v>
      </c>
      <c r="D30" s="15" t="s">
        <v>546</v>
      </c>
      <c r="E30" s="22">
        <v>0.9</v>
      </c>
      <c r="F30" s="21" t="s">
        <v>530</v>
      </c>
      <c r="G30" s="21">
        <v>2</v>
      </c>
      <c r="H30" s="15" t="s">
        <v>416</v>
      </c>
      <c r="I30" s="3" t="s">
        <v>486</v>
      </c>
    </row>
    <row r="31" spans="1:9" x14ac:dyDescent="0.25">
      <c r="A31" s="35" t="s">
        <v>44</v>
      </c>
      <c r="B31" s="14" t="s">
        <v>15</v>
      </c>
      <c r="C31" s="33">
        <v>50.95</v>
      </c>
      <c r="D31" s="15" t="s">
        <v>433</v>
      </c>
      <c r="E31" s="17">
        <v>0.85</v>
      </c>
      <c r="F31" s="21" t="s">
        <v>530</v>
      </c>
      <c r="G31" s="21">
        <v>2</v>
      </c>
      <c r="H31" s="3" t="s">
        <v>482</v>
      </c>
      <c r="I31" s="3" t="s">
        <v>486</v>
      </c>
    </row>
    <row r="32" spans="1:9" x14ac:dyDescent="0.25">
      <c r="A32" s="35" t="s">
        <v>45</v>
      </c>
      <c r="B32" s="14" t="s">
        <v>16</v>
      </c>
      <c r="C32" s="33">
        <v>10.6</v>
      </c>
      <c r="D32" s="15" t="s">
        <v>424</v>
      </c>
      <c r="E32" s="17">
        <v>0.9</v>
      </c>
      <c r="F32" s="21" t="s">
        <v>530</v>
      </c>
      <c r="G32" s="21">
        <v>2</v>
      </c>
      <c r="H32" s="15" t="s">
        <v>416</v>
      </c>
      <c r="I32" s="3" t="s">
        <v>486</v>
      </c>
    </row>
    <row r="33" spans="1:9" x14ac:dyDescent="0.25">
      <c r="A33" s="35" t="s">
        <v>46</v>
      </c>
      <c r="B33" s="14" t="s">
        <v>391</v>
      </c>
      <c r="C33" s="33">
        <v>372.83</v>
      </c>
      <c r="D33" s="15" t="s">
        <v>441</v>
      </c>
      <c r="E33" s="22">
        <v>0.9</v>
      </c>
      <c r="F33" s="21" t="s">
        <v>530</v>
      </c>
      <c r="G33" s="21">
        <v>2</v>
      </c>
      <c r="H33" s="15" t="s">
        <v>416</v>
      </c>
      <c r="I33" s="3" t="s">
        <v>486</v>
      </c>
    </row>
    <row r="34" spans="1:9" x14ac:dyDescent="0.25">
      <c r="A34" s="35" t="s">
        <v>49</v>
      </c>
      <c r="B34" s="14" t="s">
        <v>391</v>
      </c>
      <c r="C34" s="33">
        <v>93</v>
      </c>
      <c r="D34" s="15" t="s">
        <v>442</v>
      </c>
      <c r="E34" s="22">
        <v>0.9</v>
      </c>
      <c r="F34" s="21" t="s">
        <v>531</v>
      </c>
      <c r="G34" s="21">
        <v>3</v>
      </c>
      <c r="H34" s="3" t="s">
        <v>482</v>
      </c>
      <c r="I34" s="3" t="s">
        <v>486</v>
      </c>
    </row>
    <row r="35" spans="1:9" x14ac:dyDescent="0.25">
      <c r="A35" s="35" t="s">
        <v>50</v>
      </c>
      <c r="B35" s="14" t="s">
        <v>385</v>
      </c>
      <c r="C35" s="33">
        <v>57.13</v>
      </c>
      <c r="D35" s="15" t="s">
        <v>443</v>
      </c>
      <c r="E35" s="17">
        <v>0.9</v>
      </c>
      <c r="F35" s="21" t="s">
        <v>531</v>
      </c>
      <c r="G35" s="21">
        <v>2</v>
      </c>
      <c r="H35" s="3" t="s">
        <v>482</v>
      </c>
      <c r="I35" s="3" t="s">
        <v>486</v>
      </c>
    </row>
    <row r="36" spans="1:9" x14ac:dyDescent="0.25">
      <c r="A36" s="35" t="s">
        <v>51</v>
      </c>
      <c r="B36" s="14" t="s">
        <v>391</v>
      </c>
      <c r="C36" s="33">
        <v>416</v>
      </c>
      <c r="D36" s="15" t="s">
        <v>547</v>
      </c>
      <c r="E36" s="22">
        <v>0.9</v>
      </c>
      <c r="F36" s="21" t="s">
        <v>531</v>
      </c>
      <c r="G36" s="21">
        <v>2</v>
      </c>
      <c r="H36" s="3" t="s">
        <v>482</v>
      </c>
      <c r="I36" s="3" t="s">
        <v>486</v>
      </c>
    </row>
    <row r="37" spans="1:9" x14ac:dyDescent="0.25">
      <c r="A37" s="35" t="s">
        <v>52</v>
      </c>
      <c r="B37" s="14" t="s">
        <v>391</v>
      </c>
      <c r="C37" s="33">
        <v>174.51000000000002</v>
      </c>
      <c r="D37" s="15" t="s">
        <v>420</v>
      </c>
      <c r="E37" s="22">
        <v>0.9</v>
      </c>
      <c r="F37" s="21" t="s">
        <v>530</v>
      </c>
      <c r="G37" s="21">
        <v>2</v>
      </c>
      <c r="H37" s="15" t="s">
        <v>416</v>
      </c>
      <c r="I37" s="3" t="s">
        <v>486</v>
      </c>
    </row>
    <row r="38" spans="1:9" x14ac:dyDescent="0.25">
      <c r="A38" s="34" t="s">
        <v>460</v>
      </c>
      <c r="B38" s="39" t="s">
        <v>462</v>
      </c>
      <c r="C38" s="10">
        <v>30</v>
      </c>
      <c r="D38" s="15" t="s">
        <v>435</v>
      </c>
      <c r="E38" s="17">
        <v>0.89999999999999991</v>
      </c>
      <c r="F38" s="21" t="s">
        <v>530</v>
      </c>
      <c r="G38" s="21">
        <v>3</v>
      </c>
      <c r="H38" s="3" t="s">
        <v>482</v>
      </c>
      <c r="I38" s="3" t="s">
        <v>486</v>
      </c>
    </row>
    <row r="39" spans="1:9" x14ac:dyDescent="0.25">
      <c r="A39" s="34" t="s">
        <v>461</v>
      </c>
      <c r="B39" s="39" t="s">
        <v>463</v>
      </c>
      <c r="C39" s="10">
        <v>35</v>
      </c>
      <c r="D39" s="15" t="s">
        <v>430</v>
      </c>
      <c r="E39" s="17">
        <v>0.89999999999999991</v>
      </c>
      <c r="F39" s="21" t="s">
        <v>530</v>
      </c>
      <c r="G39" s="21">
        <v>3</v>
      </c>
      <c r="H39" s="3" t="s">
        <v>482</v>
      </c>
      <c r="I39" s="3" t="s">
        <v>486</v>
      </c>
    </row>
    <row r="40" spans="1:9" x14ac:dyDescent="0.25">
      <c r="A40" s="35" t="s">
        <v>55</v>
      </c>
      <c r="B40" s="14" t="s">
        <v>59</v>
      </c>
      <c r="C40" s="33">
        <v>31.05</v>
      </c>
      <c r="D40" s="15" t="s">
        <v>444</v>
      </c>
      <c r="E40" s="17">
        <v>1.046103896103896</v>
      </c>
      <c r="F40" s="21" t="s">
        <v>530</v>
      </c>
      <c r="G40" s="21">
        <v>3</v>
      </c>
      <c r="H40" s="15" t="s">
        <v>419</v>
      </c>
      <c r="I40" s="3" t="s">
        <v>486</v>
      </c>
    </row>
    <row r="41" spans="1:9" x14ac:dyDescent="0.25">
      <c r="A41" s="35" t="s">
        <v>56</v>
      </c>
      <c r="B41" s="14" t="s">
        <v>59</v>
      </c>
      <c r="C41" s="33">
        <v>28.58</v>
      </c>
      <c r="D41" s="15" t="s">
        <v>435</v>
      </c>
      <c r="E41" s="17">
        <v>1.046103896103896</v>
      </c>
      <c r="F41" s="21" t="s">
        <v>530</v>
      </c>
      <c r="G41" s="21">
        <v>3</v>
      </c>
      <c r="H41" s="15" t="s">
        <v>419</v>
      </c>
      <c r="I41" s="3" t="s">
        <v>486</v>
      </c>
    </row>
    <row r="42" spans="1:9" x14ac:dyDescent="0.25">
      <c r="A42" s="35" t="s">
        <v>57</v>
      </c>
      <c r="B42" s="14" t="s">
        <v>60</v>
      </c>
      <c r="C42" s="33">
        <v>53.3</v>
      </c>
      <c r="D42" s="15" t="s">
        <v>445</v>
      </c>
      <c r="E42" s="17">
        <v>0.9</v>
      </c>
      <c r="F42" s="21" t="s">
        <v>530</v>
      </c>
      <c r="G42" s="21">
        <v>3</v>
      </c>
      <c r="H42" s="15" t="s">
        <v>416</v>
      </c>
      <c r="I42" s="3" t="s">
        <v>486</v>
      </c>
    </row>
    <row r="43" spans="1:9" x14ac:dyDescent="0.25">
      <c r="A43" s="35" t="s">
        <v>58</v>
      </c>
      <c r="B43" s="14" t="s">
        <v>61</v>
      </c>
      <c r="C43" s="33">
        <v>49.27</v>
      </c>
      <c r="D43" s="15" t="s">
        <v>444</v>
      </c>
      <c r="E43" s="17">
        <v>0.98571428571428577</v>
      </c>
      <c r="F43" s="21" t="s">
        <v>530</v>
      </c>
      <c r="G43" s="21">
        <v>3</v>
      </c>
      <c r="H43" s="15" t="s">
        <v>419</v>
      </c>
      <c r="I43" s="3" t="s">
        <v>486</v>
      </c>
    </row>
  </sheetData>
  <printOptions gridLines="1"/>
  <pageMargins left="0.70866141732283472" right="0.70866141732283472" top="0.98425196850393704" bottom="0.78740157480314965" header="0.6692913385826772" footer="0.31496062992125984"/>
  <pageSetup paperSize="9" orientation="portrait" horizontalDpi="300" verticalDpi="300" r:id="rId1"/>
  <headerFooter>
    <oddHeader>&amp;L&amp;A&amp;RTABULKA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workbookViewId="0">
      <selection activeCell="D12" sqref="D12"/>
    </sheetView>
  </sheetViews>
  <sheetFormatPr defaultRowHeight="15" x14ac:dyDescent="0.25"/>
  <cols>
    <col min="1" max="1" width="7.7109375" customWidth="1"/>
    <col min="2" max="2" width="19.28515625" customWidth="1"/>
    <col min="3" max="9" width="6.5703125" customWidth="1"/>
    <col min="10" max="15" width="10.7109375" customWidth="1"/>
  </cols>
  <sheetData>
    <row r="1" spans="1:15" ht="30" x14ac:dyDescent="0.25">
      <c r="A1" s="75" t="s">
        <v>53</v>
      </c>
      <c r="B1" s="75" t="s">
        <v>54</v>
      </c>
      <c r="C1" s="75" t="s">
        <v>406</v>
      </c>
      <c r="D1" s="76" t="s">
        <v>390</v>
      </c>
      <c r="E1" s="77" t="s">
        <v>393</v>
      </c>
      <c r="F1" s="75" t="s">
        <v>394</v>
      </c>
      <c r="G1" s="78" t="s">
        <v>389</v>
      </c>
      <c r="H1" s="76" t="s">
        <v>410</v>
      </c>
      <c r="I1" s="75" t="s">
        <v>528</v>
      </c>
      <c r="J1" s="75" t="s">
        <v>448</v>
      </c>
      <c r="K1" s="75" t="s">
        <v>452</v>
      </c>
      <c r="L1" s="75" t="s">
        <v>451</v>
      </c>
      <c r="M1" s="75" t="s">
        <v>540</v>
      </c>
      <c r="N1" s="75" t="s">
        <v>453</v>
      </c>
      <c r="O1" s="75" t="s">
        <v>449</v>
      </c>
    </row>
    <row r="2" spans="1:15" x14ac:dyDescent="0.25">
      <c r="A2" s="59" t="s">
        <v>0</v>
      </c>
      <c r="B2" s="60" t="s">
        <v>10</v>
      </c>
      <c r="C2" s="61">
        <v>41.71</v>
      </c>
      <c r="D2" s="62">
        <v>1.05</v>
      </c>
      <c r="E2" s="63">
        <v>1.4342743312012722</v>
      </c>
      <c r="F2" s="64">
        <v>1</v>
      </c>
      <c r="G2" s="65">
        <v>30.119760955226717</v>
      </c>
      <c r="H2" s="62" t="s">
        <v>481</v>
      </c>
      <c r="I2" s="66" t="s">
        <v>408</v>
      </c>
      <c r="J2" s="67" t="s">
        <v>450</v>
      </c>
      <c r="K2" s="67" t="s">
        <v>450</v>
      </c>
      <c r="L2" s="67" t="s">
        <v>450</v>
      </c>
      <c r="M2" s="68" t="s">
        <v>450</v>
      </c>
      <c r="N2" s="68" t="s">
        <v>450</v>
      </c>
      <c r="O2" s="68" t="s">
        <v>450</v>
      </c>
    </row>
    <row r="3" spans="1:15" x14ac:dyDescent="0.25">
      <c r="A3" s="59" t="s">
        <v>1</v>
      </c>
      <c r="B3" s="60" t="s">
        <v>11</v>
      </c>
      <c r="C3" s="61">
        <v>22</v>
      </c>
      <c r="D3" s="62">
        <v>0.5</v>
      </c>
      <c r="E3" s="63">
        <v>1.0757057484009542</v>
      </c>
      <c r="F3" s="64">
        <v>1</v>
      </c>
      <c r="G3" s="65">
        <v>2.6892643710023858</v>
      </c>
      <c r="H3" s="62" t="s">
        <v>481</v>
      </c>
      <c r="I3" s="66" t="s">
        <v>408</v>
      </c>
      <c r="J3" s="67" t="s">
        <v>450</v>
      </c>
      <c r="K3" s="67" t="s">
        <v>450</v>
      </c>
      <c r="L3" s="67" t="s">
        <v>450</v>
      </c>
      <c r="M3" s="68" t="s">
        <v>450</v>
      </c>
      <c r="N3" s="68" t="s">
        <v>450</v>
      </c>
      <c r="O3" s="68" t="s">
        <v>450</v>
      </c>
    </row>
    <row r="4" spans="1:15" x14ac:dyDescent="0.25">
      <c r="A4" s="59" t="s">
        <v>2</v>
      </c>
      <c r="B4" s="60" t="s">
        <v>12</v>
      </c>
      <c r="C4" s="61">
        <v>28</v>
      </c>
      <c r="D4" s="62">
        <v>0.9</v>
      </c>
      <c r="E4" s="63">
        <v>1.3147514702678329</v>
      </c>
      <c r="F4" s="64">
        <v>1</v>
      </c>
      <c r="G4" s="65">
        <v>47.331052929641984</v>
      </c>
      <c r="H4" s="62" t="s">
        <v>481</v>
      </c>
      <c r="I4" s="66" t="s">
        <v>408</v>
      </c>
      <c r="J4" s="67" t="s">
        <v>450</v>
      </c>
      <c r="K4" s="67" t="s">
        <v>450</v>
      </c>
      <c r="L4" s="67" t="s">
        <v>450</v>
      </c>
      <c r="M4" s="68" t="s">
        <v>450</v>
      </c>
      <c r="N4" s="68" t="s">
        <v>450</v>
      </c>
      <c r="O4" s="68" t="s">
        <v>450</v>
      </c>
    </row>
    <row r="5" spans="1:15" x14ac:dyDescent="0.25">
      <c r="A5" s="59" t="s">
        <v>3</v>
      </c>
      <c r="B5" s="60" t="s">
        <v>13</v>
      </c>
      <c r="C5" s="61">
        <v>169.53</v>
      </c>
      <c r="D5" s="62">
        <v>0.99090909090909096</v>
      </c>
      <c r="E5" s="63">
        <v>0.7780507987818468</v>
      </c>
      <c r="F5" s="64">
        <v>1</v>
      </c>
      <c r="G5" s="65">
        <v>42.403768533610652</v>
      </c>
      <c r="H5" s="62">
        <v>3.4</v>
      </c>
      <c r="I5" s="66" t="s">
        <v>409</v>
      </c>
      <c r="J5" s="67" t="s">
        <v>450</v>
      </c>
      <c r="K5" s="69" t="s">
        <v>455</v>
      </c>
      <c r="L5" s="67" t="s">
        <v>450</v>
      </c>
      <c r="M5" s="68" t="s">
        <v>450</v>
      </c>
      <c r="N5" s="68" t="s">
        <v>450</v>
      </c>
      <c r="O5" s="68" t="s">
        <v>450</v>
      </c>
    </row>
    <row r="6" spans="1:15" x14ac:dyDescent="0.25">
      <c r="A6" s="59" t="s">
        <v>4</v>
      </c>
      <c r="B6" s="60" t="s">
        <v>14</v>
      </c>
      <c r="C6" s="61">
        <v>20.68</v>
      </c>
      <c r="D6" s="62">
        <v>0.70799999999999996</v>
      </c>
      <c r="E6" s="63">
        <v>0.69208266240374605</v>
      </c>
      <c r="F6" s="64">
        <v>1</v>
      </c>
      <c r="G6" s="65">
        <v>61.249315622731523</v>
      </c>
      <c r="H6" s="62">
        <v>3.4</v>
      </c>
      <c r="I6" s="66" t="s">
        <v>411</v>
      </c>
      <c r="J6" s="69" t="s">
        <v>455</v>
      </c>
      <c r="K6" s="69" t="s">
        <v>455</v>
      </c>
      <c r="L6" s="69" t="s">
        <v>455</v>
      </c>
      <c r="M6" s="68" t="s">
        <v>450</v>
      </c>
      <c r="N6" s="68" t="s">
        <v>450</v>
      </c>
      <c r="O6" s="68" t="s">
        <v>450</v>
      </c>
    </row>
    <row r="7" spans="1:15" x14ac:dyDescent="0.25">
      <c r="A7" s="59" t="s">
        <v>5</v>
      </c>
      <c r="B7" s="60" t="s">
        <v>15</v>
      </c>
      <c r="C7" s="61">
        <v>49.63</v>
      </c>
      <c r="D7" s="62">
        <v>0.85</v>
      </c>
      <c r="E7" s="63">
        <v>0.82842379801699784</v>
      </c>
      <c r="F7" s="64">
        <v>1</v>
      </c>
      <c r="G7" s="65">
        <v>7.0416022831444813</v>
      </c>
      <c r="H7" s="62">
        <v>3.4</v>
      </c>
      <c r="I7" s="66" t="s">
        <v>408</v>
      </c>
      <c r="J7" s="68" t="s">
        <v>450</v>
      </c>
      <c r="K7" s="68" t="s">
        <v>450</v>
      </c>
      <c r="L7" s="68" t="s">
        <v>450</v>
      </c>
      <c r="M7" s="68" t="s">
        <v>450</v>
      </c>
      <c r="N7" s="68" t="s">
        <v>450</v>
      </c>
      <c r="O7" s="68" t="s">
        <v>450</v>
      </c>
    </row>
    <row r="8" spans="1:15" x14ac:dyDescent="0.25">
      <c r="A8" s="59" t="s">
        <v>6</v>
      </c>
      <c r="B8" s="60" t="s">
        <v>16</v>
      </c>
      <c r="C8" s="61">
        <v>10.6</v>
      </c>
      <c r="D8" s="62">
        <v>0.9</v>
      </c>
      <c r="E8" s="63">
        <v>0.83666002653407545</v>
      </c>
      <c r="F8" s="64">
        <v>1</v>
      </c>
      <c r="G8" s="65">
        <v>12.800898405971354</v>
      </c>
      <c r="H8" s="62">
        <v>3.4</v>
      </c>
      <c r="I8" s="66" t="s">
        <v>408</v>
      </c>
      <c r="J8" s="67" t="s">
        <v>450</v>
      </c>
      <c r="K8" s="67" t="s">
        <v>450</v>
      </c>
      <c r="L8" s="67" t="s">
        <v>450</v>
      </c>
      <c r="M8" s="68" t="s">
        <v>450</v>
      </c>
      <c r="N8" s="68" t="s">
        <v>450</v>
      </c>
      <c r="O8" s="68" t="s">
        <v>450</v>
      </c>
    </row>
    <row r="9" spans="1:15" x14ac:dyDescent="0.25">
      <c r="A9" s="59" t="s">
        <v>7</v>
      </c>
      <c r="B9" s="60" t="s">
        <v>17</v>
      </c>
      <c r="C9" s="61">
        <v>321.20000000000005</v>
      </c>
      <c r="D9" s="62">
        <v>0.94285714285714284</v>
      </c>
      <c r="E9" s="63">
        <v>1.4422236408624536</v>
      </c>
      <c r="F9" s="64">
        <v>1</v>
      </c>
      <c r="G9" s="65">
        <v>47.593380148460966</v>
      </c>
      <c r="H9" s="62">
        <v>6.5</v>
      </c>
      <c r="I9" s="66" t="s">
        <v>411</v>
      </c>
      <c r="J9" s="69" t="s">
        <v>455</v>
      </c>
      <c r="K9" s="69" t="s">
        <v>455</v>
      </c>
      <c r="L9" s="69" t="s">
        <v>455</v>
      </c>
      <c r="M9" s="68" t="s">
        <v>450</v>
      </c>
      <c r="N9" s="68" t="s">
        <v>450</v>
      </c>
      <c r="O9" s="68" t="s">
        <v>450</v>
      </c>
    </row>
    <row r="10" spans="1:15" x14ac:dyDescent="0.25">
      <c r="A10" s="59" t="s">
        <v>8</v>
      </c>
      <c r="B10" s="60" t="s">
        <v>18</v>
      </c>
      <c r="C10" s="61">
        <v>158.12</v>
      </c>
      <c r="D10" s="62">
        <v>0.85</v>
      </c>
      <c r="E10" s="63">
        <v>0.95</v>
      </c>
      <c r="F10" s="64">
        <v>1</v>
      </c>
      <c r="G10" s="65">
        <v>8.0485716661048681</v>
      </c>
      <c r="H10" s="62">
        <v>6.5</v>
      </c>
      <c r="I10" s="66" t="s">
        <v>408</v>
      </c>
      <c r="J10" s="68" t="s">
        <v>450</v>
      </c>
      <c r="K10" s="68" t="s">
        <v>450</v>
      </c>
      <c r="L10" s="68" t="s">
        <v>450</v>
      </c>
      <c r="M10" s="68" t="s">
        <v>450</v>
      </c>
      <c r="N10" s="68" t="s">
        <v>450</v>
      </c>
      <c r="O10" s="68" t="s">
        <v>450</v>
      </c>
    </row>
    <row r="11" spans="1:15" x14ac:dyDescent="0.25">
      <c r="A11" s="59" t="s">
        <v>9</v>
      </c>
      <c r="B11" s="60" t="s">
        <v>407</v>
      </c>
      <c r="C11" s="61">
        <v>20.54</v>
      </c>
      <c r="D11" s="62">
        <v>0.9</v>
      </c>
      <c r="E11" s="63">
        <v>1.0757057484009542</v>
      </c>
      <c r="F11" s="64">
        <v>1</v>
      </c>
      <c r="G11" s="65">
        <v>16.4582979505346</v>
      </c>
      <c r="H11" s="62" t="s">
        <v>481</v>
      </c>
      <c r="I11" s="66" t="s">
        <v>408</v>
      </c>
      <c r="J11" s="67" t="s">
        <v>450</v>
      </c>
      <c r="K11" s="67" t="s">
        <v>450</v>
      </c>
      <c r="L11" s="67" t="s">
        <v>450</v>
      </c>
      <c r="M11" s="68" t="s">
        <v>450</v>
      </c>
      <c r="N11" s="68" t="s">
        <v>450</v>
      </c>
      <c r="O11" s="68" t="s">
        <v>450</v>
      </c>
    </row>
    <row r="12" spans="1:15" x14ac:dyDescent="0.25">
      <c r="A12" s="59" t="s">
        <v>19</v>
      </c>
      <c r="B12" s="60" t="s">
        <v>32</v>
      </c>
      <c r="C12" s="61">
        <v>172.32</v>
      </c>
      <c r="D12" s="62">
        <v>0.98888888888888893</v>
      </c>
      <c r="E12" s="63">
        <v>0.73968753869499582</v>
      </c>
      <c r="F12" s="64">
        <v>1</v>
      </c>
      <c r="G12" s="65">
        <v>32.916095471927314</v>
      </c>
      <c r="H12" s="62">
        <v>3.4</v>
      </c>
      <c r="I12" s="66" t="s">
        <v>409</v>
      </c>
      <c r="J12" s="67" t="s">
        <v>450</v>
      </c>
      <c r="K12" s="67" t="s">
        <v>450</v>
      </c>
      <c r="L12" s="67" t="s">
        <v>450</v>
      </c>
      <c r="M12" s="70" t="s">
        <v>457</v>
      </c>
      <c r="N12" s="68" t="s">
        <v>450</v>
      </c>
      <c r="O12" s="68" t="s">
        <v>450</v>
      </c>
    </row>
    <row r="13" spans="1:15" x14ac:dyDescent="0.25">
      <c r="A13" s="59" t="s">
        <v>20</v>
      </c>
      <c r="B13" s="60" t="s">
        <v>391</v>
      </c>
      <c r="C13" s="61">
        <v>238.32999999999996</v>
      </c>
      <c r="D13" s="71">
        <v>0.9</v>
      </c>
      <c r="E13" s="72" t="s">
        <v>392</v>
      </c>
      <c r="F13" s="68" t="s">
        <v>392</v>
      </c>
      <c r="G13" s="65">
        <v>23</v>
      </c>
      <c r="H13" s="62">
        <v>3.4</v>
      </c>
      <c r="I13" s="66" t="s">
        <v>409</v>
      </c>
      <c r="J13" s="67" t="s">
        <v>450</v>
      </c>
      <c r="K13" s="67" t="s">
        <v>450</v>
      </c>
      <c r="L13" s="67" t="s">
        <v>450</v>
      </c>
      <c r="M13" s="70" t="s">
        <v>457</v>
      </c>
      <c r="N13" s="68" t="s">
        <v>450</v>
      </c>
      <c r="O13" s="68" t="s">
        <v>450</v>
      </c>
    </row>
    <row r="14" spans="1:15" x14ac:dyDescent="0.25">
      <c r="A14" s="59" t="s">
        <v>21</v>
      </c>
      <c r="B14" s="60" t="s">
        <v>33</v>
      </c>
      <c r="C14" s="61">
        <v>86.99</v>
      </c>
      <c r="D14" s="62">
        <v>0.9</v>
      </c>
      <c r="E14" s="63">
        <v>0.80013991799750461</v>
      </c>
      <c r="F14" s="64">
        <v>1</v>
      </c>
      <c r="G14" s="65">
        <v>18.003148154943855</v>
      </c>
      <c r="H14" s="62">
        <v>6.5</v>
      </c>
      <c r="I14" s="66" t="s">
        <v>409</v>
      </c>
      <c r="J14" s="67" t="s">
        <v>450</v>
      </c>
      <c r="K14" s="67" t="s">
        <v>450</v>
      </c>
      <c r="L14" s="67" t="s">
        <v>450</v>
      </c>
      <c r="M14" s="68" t="s">
        <v>450</v>
      </c>
      <c r="N14" s="68" t="s">
        <v>450</v>
      </c>
      <c r="O14" s="68" t="s">
        <v>450</v>
      </c>
    </row>
    <row r="15" spans="1:15" x14ac:dyDescent="0.25">
      <c r="A15" s="59" t="s">
        <v>22</v>
      </c>
      <c r="B15" s="60" t="s">
        <v>34</v>
      </c>
      <c r="C15" s="61">
        <v>24.08</v>
      </c>
      <c r="D15" s="62">
        <v>0.7</v>
      </c>
      <c r="E15" s="63">
        <v>1.1952286093343936</v>
      </c>
      <c r="F15" s="64">
        <v>1</v>
      </c>
      <c r="G15" s="65">
        <v>8.3666002653407556</v>
      </c>
      <c r="H15" s="62">
        <v>6.5</v>
      </c>
      <c r="I15" s="66" t="s">
        <v>408</v>
      </c>
      <c r="J15" s="69" t="s">
        <v>455</v>
      </c>
      <c r="K15" s="69" t="s">
        <v>455</v>
      </c>
      <c r="L15" s="69" t="s">
        <v>455</v>
      </c>
      <c r="M15" s="68" t="s">
        <v>450</v>
      </c>
      <c r="N15" s="68" t="s">
        <v>450</v>
      </c>
      <c r="O15" s="68" t="s">
        <v>450</v>
      </c>
    </row>
    <row r="16" spans="1:15" x14ac:dyDescent="0.25">
      <c r="A16" s="59" t="s">
        <v>23</v>
      </c>
      <c r="B16" s="60" t="s">
        <v>35</v>
      </c>
      <c r="C16" s="61">
        <v>2.65</v>
      </c>
      <c r="D16" s="62">
        <v>0.99375000000000002</v>
      </c>
      <c r="E16" s="63">
        <v>0.59761430466719678</v>
      </c>
      <c r="F16" s="64">
        <v>1</v>
      </c>
      <c r="G16" s="65">
        <v>19.004134888416857</v>
      </c>
      <c r="H16" s="62">
        <v>6.5</v>
      </c>
      <c r="I16" s="66" t="s">
        <v>409</v>
      </c>
      <c r="J16" s="67" t="s">
        <v>450</v>
      </c>
      <c r="K16" s="67" t="s">
        <v>450</v>
      </c>
      <c r="L16" s="67" t="s">
        <v>450</v>
      </c>
      <c r="M16" s="68" t="s">
        <v>450</v>
      </c>
      <c r="N16" s="68" t="s">
        <v>450</v>
      </c>
      <c r="O16" s="68" t="s">
        <v>450</v>
      </c>
    </row>
    <row r="17" spans="1:15" x14ac:dyDescent="0.25">
      <c r="A17" s="59" t="s">
        <v>24</v>
      </c>
      <c r="B17" s="60" t="s">
        <v>391</v>
      </c>
      <c r="C17" s="61">
        <v>55.820000000000007</v>
      </c>
      <c r="D17" s="71">
        <v>0.9</v>
      </c>
      <c r="E17" s="72" t="s">
        <v>392</v>
      </c>
      <c r="F17" s="68" t="s">
        <v>392</v>
      </c>
      <c r="G17" s="65">
        <v>23</v>
      </c>
      <c r="H17" s="62">
        <v>3.4</v>
      </c>
      <c r="I17" s="66" t="s">
        <v>409</v>
      </c>
      <c r="J17" s="67" t="s">
        <v>450</v>
      </c>
      <c r="K17" s="67" t="s">
        <v>450</v>
      </c>
      <c r="L17" s="67" t="s">
        <v>450</v>
      </c>
      <c r="M17" s="68" t="s">
        <v>450</v>
      </c>
      <c r="N17" s="68" t="s">
        <v>450</v>
      </c>
      <c r="O17" s="68" t="s">
        <v>450</v>
      </c>
    </row>
    <row r="18" spans="1:15" x14ac:dyDescent="0.25">
      <c r="A18" s="59" t="s">
        <v>25</v>
      </c>
      <c r="B18" s="60" t="s">
        <v>391</v>
      </c>
      <c r="C18" s="61">
        <v>193.43</v>
      </c>
      <c r="D18" s="71">
        <v>0.9</v>
      </c>
      <c r="E18" s="72" t="s">
        <v>392</v>
      </c>
      <c r="F18" s="68" t="s">
        <v>392</v>
      </c>
      <c r="G18" s="65">
        <v>23</v>
      </c>
      <c r="H18" s="62">
        <v>3.4</v>
      </c>
      <c r="I18" s="66" t="s">
        <v>409</v>
      </c>
      <c r="J18" s="67" t="s">
        <v>450</v>
      </c>
      <c r="K18" s="67" t="s">
        <v>450</v>
      </c>
      <c r="L18" s="67" t="s">
        <v>450</v>
      </c>
      <c r="M18" s="68" t="s">
        <v>450</v>
      </c>
      <c r="N18" s="68" t="s">
        <v>450</v>
      </c>
      <c r="O18" s="68" t="s">
        <v>450</v>
      </c>
    </row>
    <row r="19" spans="1:15" x14ac:dyDescent="0.25">
      <c r="A19" s="59" t="s">
        <v>26</v>
      </c>
      <c r="B19" s="60" t="s">
        <v>15</v>
      </c>
      <c r="C19" s="61">
        <v>50.85</v>
      </c>
      <c r="D19" s="62">
        <v>0.85</v>
      </c>
      <c r="E19" s="63">
        <v>0.84878803403514691</v>
      </c>
      <c r="F19" s="64">
        <v>1</v>
      </c>
      <c r="G19" s="65">
        <v>7.2146982892987488</v>
      </c>
      <c r="H19" s="62">
        <v>3.4</v>
      </c>
      <c r="I19" s="66" t="s">
        <v>408</v>
      </c>
      <c r="J19" s="68" t="s">
        <v>450</v>
      </c>
      <c r="K19" s="68" t="s">
        <v>450</v>
      </c>
      <c r="L19" s="68" t="s">
        <v>450</v>
      </c>
      <c r="M19" s="68" t="s">
        <v>450</v>
      </c>
      <c r="N19" s="68" t="s">
        <v>450</v>
      </c>
      <c r="O19" s="68" t="s">
        <v>450</v>
      </c>
    </row>
    <row r="20" spans="1:15" x14ac:dyDescent="0.25">
      <c r="A20" s="59" t="s">
        <v>27</v>
      </c>
      <c r="B20" s="60" t="s">
        <v>16</v>
      </c>
      <c r="C20" s="61">
        <v>10.6</v>
      </c>
      <c r="D20" s="62">
        <v>0.9</v>
      </c>
      <c r="E20" s="63">
        <v>0.83666002653407545</v>
      </c>
      <c r="F20" s="64">
        <v>1</v>
      </c>
      <c r="G20" s="65">
        <v>12.800898405971354</v>
      </c>
      <c r="H20" s="62">
        <v>3.4</v>
      </c>
      <c r="I20" s="66" t="s">
        <v>408</v>
      </c>
      <c r="J20" s="67" t="s">
        <v>450</v>
      </c>
      <c r="K20" s="67" t="s">
        <v>450</v>
      </c>
      <c r="L20" s="67" t="s">
        <v>450</v>
      </c>
      <c r="M20" s="68" t="s">
        <v>450</v>
      </c>
      <c r="N20" s="68" t="s">
        <v>450</v>
      </c>
      <c r="O20" s="68" t="s">
        <v>450</v>
      </c>
    </row>
    <row r="21" spans="1:15" x14ac:dyDescent="0.25">
      <c r="A21" s="59" t="s">
        <v>28</v>
      </c>
      <c r="B21" s="60" t="s">
        <v>391</v>
      </c>
      <c r="C21" s="61">
        <v>192.98000000000002</v>
      </c>
      <c r="D21" s="71">
        <v>0.9</v>
      </c>
      <c r="E21" s="72" t="s">
        <v>392</v>
      </c>
      <c r="F21" s="68" t="s">
        <v>392</v>
      </c>
      <c r="G21" s="65">
        <v>23</v>
      </c>
      <c r="H21" s="62">
        <v>3.4</v>
      </c>
      <c r="I21" s="66" t="s">
        <v>409</v>
      </c>
      <c r="J21" s="67" t="s">
        <v>450</v>
      </c>
      <c r="K21" s="67" t="s">
        <v>450</v>
      </c>
      <c r="L21" s="67" t="s">
        <v>450</v>
      </c>
      <c r="M21" s="68" t="s">
        <v>450</v>
      </c>
      <c r="N21" s="68" t="s">
        <v>450</v>
      </c>
      <c r="O21" s="68" t="s">
        <v>450</v>
      </c>
    </row>
    <row r="22" spans="1:15" x14ac:dyDescent="0.25">
      <c r="A22" s="59" t="s">
        <v>29</v>
      </c>
      <c r="B22" s="60" t="s">
        <v>36</v>
      </c>
      <c r="C22" s="61">
        <v>110.52999999999999</v>
      </c>
      <c r="D22" s="62">
        <v>0.98750000000000004</v>
      </c>
      <c r="E22" s="63">
        <v>0.92944614203751541</v>
      </c>
      <c r="F22" s="64">
        <v>1</v>
      </c>
      <c r="G22" s="65">
        <v>36.713122610481861</v>
      </c>
      <c r="H22" s="62">
        <v>6.5</v>
      </c>
      <c r="I22" s="66" t="s">
        <v>411</v>
      </c>
      <c r="J22" s="69" t="s">
        <v>455</v>
      </c>
      <c r="K22" s="69" t="s">
        <v>455</v>
      </c>
      <c r="L22" s="69" t="s">
        <v>455</v>
      </c>
      <c r="M22" s="68" t="s">
        <v>450</v>
      </c>
      <c r="N22" s="68" t="s">
        <v>450</v>
      </c>
      <c r="O22" s="68" t="s">
        <v>450</v>
      </c>
    </row>
    <row r="23" spans="1:15" x14ac:dyDescent="0.25">
      <c r="A23" s="59" t="s">
        <v>30</v>
      </c>
      <c r="B23" s="60" t="s">
        <v>37</v>
      </c>
      <c r="C23" s="61">
        <v>23.79</v>
      </c>
      <c r="D23" s="62">
        <v>1.046103896103896</v>
      </c>
      <c r="E23" s="63">
        <v>1.2336184904580507</v>
      </c>
      <c r="F23" s="64">
        <v>1</v>
      </c>
      <c r="G23" s="65">
        <v>99.367969406395986</v>
      </c>
      <c r="H23" s="62" t="s">
        <v>481</v>
      </c>
      <c r="I23" s="66" t="s">
        <v>409</v>
      </c>
      <c r="J23" s="67" t="s">
        <v>450</v>
      </c>
      <c r="K23" s="67" t="s">
        <v>450</v>
      </c>
      <c r="L23" s="67" t="s">
        <v>450</v>
      </c>
      <c r="M23" s="68" t="s">
        <v>450</v>
      </c>
      <c r="N23" s="68" t="s">
        <v>450</v>
      </c>
      <c r="O23" s="68" t="s">
        <v>450</v>
      </c>
    </row>
    <row r="24" spans="1:15" x14ac:dyDescent="0.25">
      <c r="A24" s="59" t="s">
        <v>31</v>
      </c>
      <c r="B24" s="60" t="s">
        <v>15</v>
      </c>
      <c r="C24" s="61">
        <v>158.75</v>
      </c>
      <c r="D24" s="62">
        <v>0.85</v>
      </c>
      <c r="E24" s="63">
        <v>1.0580150889757571</v>
      </c>
      <c r="F24" s="64">
        <v>1</v>
      </c>
      <c r="G24" s="65">
        <v>8.9931282562939359</v>
      </c>
      <c r="H24" s="62">
        <v>6.5</v>
      </c>
      <c r="I24" s="66" t="s">
        <v>408</v>
      </c>
      <c r="J24" s="68" t="s">
        <v>450</v>
      </c>
      <c r="K24" s="68" t="s">
        <v>450</v>
      </c>
      <c r="L24" s="68" t="s">
        <v>450</v>
      </c>
      <c r="M24" s="68" t="s">
        <v>450</v>
      </c>
      <c r="N24" s="68" t="s">
        <v>450</v>
      </c>
      <c r="O24" s="68" t="s">
        <v>450</v>
      </c>
    </row>
    <row r="25" spans="1:15" x14ac:dyDescent="0.25">
      <c r="A25" s="59" t="s">
        <v>38</v>
      </c>
      <c r="B25" s="60" t="s">
        <v>391</v>
      </c>
      <c r="C25" s="61">
        <v>57.28</v>
      </c>
      <c r="D25" s="71">
        <v>0.9</v>
      </c>
      <c r="E25" s="72" t="s">
        <v>392</v>
      </c>
      <c r="F25" s="68" t="s">
        <v>392</v>
      </c>
      <c r="G25" s="65">
        <v>23</v>
      </c>
      <c r="H25" s="62">
        <v>3.4</v>
      </c>
      <c r="I25" s="66" t="s">
        <v>409</v>
      </c>
      <c r="J25" s="67" t="s">
        <v>450</v>
      </c>
      <c r="K25" s="67" t="s">
        <v>450</v>
      </c>
      <c r="L25" s="67" t="s">
        <v>450</v>
      </c>
      <c r="M25" s="70" t="s">
        <v>457</v>
      </c>
      <c r="N25" s="68" t="s">
        <v>450</v>
      </c>
      <c r="O25" s="68" t="s">
        <v>450</v>
      </c>
    </row>
    <row r="26" spans="1:15" x14ac:dyDescent="0.25">
      <c r="A26" s="59" t="s">
        <v>39</v>
      </c>
      <c r="B26" s="60" t="s">
        <v>391</v>
      </c>
      <c r="C26" s="61">
        <v>504.3900000000001</v>
      </c>
      <c r="D26" s="71">
        <v>0.9</v>
      </c>
      <c r="E26" s="72" t="s">
        <v>392</v>
      </c>
      <c r="F26" s="68" t="s">
        <v>392</v>
      </c>
      <c r="G26" s="65">
        <v>23</v>
      </c>
      <c r="H26" s="62">
        <v>3.4</v>
      </c>
      <c r="I26" s="66" t="s">
        <v>409</v>
      </c>
      <c r="J26" s="67" t="s">
        <v>450</v>
      </c>
      <c r="K26" s="67" t="s">
        <v>450</v>
      </c>
      <c r="L26" s="67" t="s">
        <v>450</v>
      </c>
      <c r="M26" s="70" t="s">
        <v>457</v>
      </c>
      <c r="N26" s="68" t="s">
        <v>450</v>
      </c>
      <c r="O26" s="68" t="s">
        <v>450</v>
      </c>
    </row>
    <row r="27" spans="1:15" x14ac:dyDescent="0.25">
      <c r="A27" s="59" t="s">
        <v>40</v>
      </c>
      <c r="B27" s="60" t="s">
        <v>47</v>
      </c>
      <c r="C27" s="61">
        <v>103</v>
      </c>
      <c r="D27" s="62">
        <v>0.6333333333333333</v>
      </c>
      <c r="E27" s="63">
        <v>0.8979656388451025</v>
      </c>
      <c r="F27" s="64">
        <v>1</v>
      </c>
      <c r="G27" s="65">
        <v>8.5306735690284743</v>
      </c>
      <c r="H27" s="62">
        <v>6.5</v>
      </c>
      <c r="I27" s="66" t="s">
        <v>408</v>
      </c>
      <c r="J27" s="67" t="s">
        <v>450</v>
      </c>
      <c r="K27" s="67" t="s">
        <v>450</v>
      </c>
      <c r="L27" s="67" t="s">
        <v>450</v>
      </c>
      <c r="M27" s="68" t="s">
        <v>450</v>
      </c>
      <c r="N27" s="68" t="s">
        <v>450</v>
      </c>
      <c r="O27" s="68" t="s">
        <v>450</v>
      </c>
    </row>
    <row r="28" spans="1:15" x14ac:dyDescent="0.25">
      <c r="A28" s="59" t="s">
        <v>41</v>
      </c>
      <c r="B28" s="60" t="s">
        <v>34</v>
      </c>
      <c r="C28" s="61">
        <v>25.82</v>
      </c>
      <c r="D28" s="62">
        <v>0.7</v>
      </c>
      <c r="E28" s="63">
        <v>0.56297723342018013</v>
      </c>
      <c r="F28" s="64">
        <v>1</v>
      </c>
      <c r="G28" s="65">
        <v>3.9408406339412609</v>
      </c>
      <c r="H28" s="62">
        <v>6.5</v>
      </c>
      <c r="I28" s="66" t="s">
        <v>408</v>
      </c>
      <c r="J28" s="67" t="s">
        <v>450</v>
      </c>
      <c r="K28" s="67" t="s">
        <v>450</v>
      </c>
      <c r="L28" s="67" t="s">
        <v>450</v>
      </c>
      <c r="M28" s="68" t="s">
        <v>450</v>
      </c>
      <c r="N28" s="68" t="s">
        <v>450</v>
      </c>
      <c r="O28" s="68" t="s">
        <v>450</v>
      </c>
    </row>
    <row r="29" spans="1:15" x14ac:dyDescent="0.25">
      <c r="A29" s="59" t="s">
        <v>42</v>
      </c>
      <c r="B29" s="60" t="s">
        <v>48</v>
      </c>
      <c r="C29" s="61">
        <v>29.75</v>
      </c>
      <c r="D29" s="62">
        <v>0.9</v>
      </c>
      <c r="E29" s="63">
        <v>0.90736388215661556</v>
      </c>
      <c r="F29" s="64">
        <v>1</v>
      </c>
      <c r="G29" s="65">
        <v>20.41568734852385</v>
      </c>
      <c r="H29" s="62">
        <v>6.5</v>
      </c>
      <c r="I29" s="66" t="s">
        <v>409</v>
      </c>
      <c r="J29" s="67" t="s">
        <v>450</v>
      </c>
      <c r="K29" s="67" t="s">
        <v>450</v>
      </c>
      <c r="L29" s="67" t="s">
        <v>450</v>
      </c>
      <c r="M29" s="68" t="s">
        <v>450</v>
      </c>
      <c r="N29" s="68" t="s">
        <v>450</v>
      </c>
      <c r="O29" s="68" t="s">
        <v>450</v>
      </c>
    </row>
    <row r="30" spans="1:15" x14ac:dyDescent="0.25">
      <c r="A30" s="59" t="s">
        <v>43</v>
      </c>
      <c r="B30" s="60" t="s">
        <v>391</v>
      </c>
      <c r="C30" s="61">
        <v>203</v>
      </c>
      <c r="D30" s="71">
        <v>0.9</v>
      </c>
      <c r="E30" s="72" t="s">
        <v>392</v>
      </c>
      <c r="F30" s="68" t="s">
        <v>392</v>
      </c>
      <c r="G30" s="65">
        <v>23</v>
      </c>
      <c r="H30" s="62">
        <v>3.4</v>
      </c>
      <c r="I30" s="66" t="s">
        <v>409</v>
      </c>
      <c r="J30" s="67" t="s">
        <v>450</v>
      </c>
      <c r="K30" s="67" t="s">
        <v>450</v>
      </c>
      <c r="L30" s="67" t="s">
        <v>450</v>
      </c>
      <c r="M30" s="68" t="s">
        <v>450</v>
      </c>
      <c r="N30" s="68" t="s">
        <v>450</v>
      </c>
      <c r="O30" s="68" t="s">
        <v>450</v>
      </c>
    </row>
    <row r="31" spans="1:15" x14ac:dyDescent="0.25">
      <c r="A31" s="59" t="s">
        <v>44</v>
      </c>
      <c r="B31" s="60" t="s">
        <v>15</v>
      </c>
      <c r="C31" s="61">
        <v>50.95</v>
      </c>
      <c r="D31" s="62">
        <v>0.85</v>
      </c>
      <c r="E31" s="63">
        <v>0.85045723370876569</v>
      </c>
      <c r="F31" s="64">
        <v>1</v>
      </c>
      <c r="G31" s="65">
        <v>7.2288864865245088</v>
      </c>
      <c r="H31" s="62">
        <v>3.4</v>
      </c>
      <c r="I31" s="66" t="s">
        <v>408</v>
      </c>
      <c r="J31" s="68" t="s">
        <v>450</v>
      </c>
      <c r="K31" s="68" t="s">
        <v>450</v>
      </c>
      <c r="L31" s="68" t="s">
        <v>450</v>
      </c>
      <c r="M31" s="68" t="s">
        <v>450</v>
      </c>
      <c r="N31" s="68" t="s">
        <v>450</v>
      </c>
      <c r="O31" s="68" t="s">
        <v>450</v>
      </c>
    </row>
    <row r="32" spans="1:15" x14ac:dyDescent="0.25">
      <c r="A32" s="59" t="s">
        <v>45</v>
      </c>
      <c r="B32" s="60" t="s">
        <v>16</v>
      </c>
      <c r="C32" s="61">
        <v>10.6</v>
      </c>
      <c r="D32" s="62">
        <v>0.9</v>
      </c>
      <c r="E32" s="63">
        <v>0.83666002653407545</v>
      </c>
      <c r="F32" s="64">
        <v>1</v>
      </c>
      <c r="G32" s="65">
        <v>12.800898405971354</v>
      </c>
      <c r="H32" s="62">
        <v>3.4</v>
      </c>
      <c r="I32" s="66" t="s">
        <v>408</v>
      </c>
      <c r="J32" s="67" t="s">
        <v>450</v>
      </c>
      <c r="K32" s="67" t="s">
        <v>450</v>
      </c>
      <c r="L32" s="67" t="s">
        <v>450</v>
      </c>
      <c r="M32" s="68" t="s">
        <v>450</v>
      </c>
      <c r="N32" s="68" t="s">
        <v>450</v>
      </c>
      <c r="O32" s="68" t="s">
        <v>450</v>
      </c>
    </row>
    <row r="33" spans="1:15" x14ac:dyDescent="0.25">
      <c r="A33" s="59" t="s">
        <v>46</v>
      </c>
      <c r="B33" s="60" t="s">
        <v>391</v>
      </c>
      <c r="C33" s="61">
        <v>372.83</v>
      </c>
      <c r="D33" s="71">
        <v>0.9</v>
      </c>
      <c r="E33" s="72" t="s">
        <v>392</v>
      </c>
      <c r="F33" s="68" t="s">
        <v>392</v>
      </c>
      <c r="G33" s="65">
        <v>23</v>
      </c>
      <c r="H33" s="62">
        <v>3.4</v>
      </c>
      <c r="I33" s="66" t="s">
        <v>409</v>
      </c>
      <c r="J33" s="67" t="s">
        <v>450</v>
      </c>
      <c r="K33" s="67" t="s">
        <v>450</v>
      </c>
      <c r="L33" s="67" t="s">
        <v>450</v>
      </c>
      <c r="M33" s="68" t="s">
        <v>450</v>
      </c>
      <c r="N33" s="68" t="s">
        <v>450</v>
      </c>
      <c r="O33" s="68" t="s">
        <v>450</v>
      </c>
    </row>
    <row r="34" spans="1:15" x14ac:dyDescent="0.25">
      <c r="A34" s="59" t="s">
        <v>49</v>
      </c>
      <c r="B34" s="60" t="s">
        <v>391</v>
      </c>
      <c r="C34" s="61">
        <v>93</v>
      </c>
      <c r="D34" s="71">
        <v>0.9</v>
      </c>
      <c r="E34" s="72" t="s">
        <v>392</v>
      </c>
      <c r="F34" s="68" t="s">
        <v>392</v>
      </c>
      <c r="G34" s="65">
        <v>23</v>
      </c>
      <c r="H34" s="62">
        <v>3.4</v>
      </c>
      <c r="I34" s="66" t="s">
        <v>409</v>
      </c>
      <c r="J34" s="67" t="s">
        <v>450</v>
      </c>
      <c r="K34" s="67" t="s">
        <v>450</v>
      </c>
      <c r="L34" s="67" t="s">
        <v>450</v>
      </c>
      <c r="M34" s="70" t="s">
        <v>457</v>
      </c>
      <c r="N34" s="68" t="s">
        <v>450</v>
      </c>
      <c r="O34" s="68" t="s">
        <v>450</v>
      </c>
    </row>
    <row r="35" spans="1:15" x14ac:dyDescent="0.25">
      <c r="A35" s="59" t="s">
        <v>50</v>
      </c>
      <c r="B35" s="60" t="s">
        <v>385</v>
      </c>
      <c r="C35" s="61">
        <v>57.13</v>
      </c>
      <c r="D35" s="62">
        <v>0.9</v>
      </c>
      <c r="E35" s="63">
        <v>1.0020348447286138</v>
      </c>
      <c r="F35" s="64">
        <v>1</v>
      </c>
      <c r="G35" s="65">
        <v>22.545784006393809</v>
      </c>
      <c r="H35" s="62">
        <v>3.4</v>
      </c>
      <c r="I35" s="66" t="s">
        <v>409</v>
      </c>
      <c r="J35" s="67" t="s">
        <v>450</v>
      </c>
      <c r="K35" s="67" t="s">
        <v>450</v>
      </c>
      <c r="L35" s="67" t="s">
        <v>450</v>
      </c>
      <c r="M35" s="70" t="s">
        <v>457</v>
      </c>
      <c r="N35" s="68" t="s">
        <v>450</v>
      </c>
      <c r="O35" s="68" t="s">
        <v>450</v>
      </c>
    </row>
    <row r="36" spans="1:15" x14ac:dyDescent="0.25">
      <c r="A36" s="59" t="s">
        <v>51</v>
      </c>
      <c r="B36" s="60" t="s">
        <v>391</v>
      </c>
      <c r="C36" s="61">
        <v>416</v>
      </c>
      <c r="D36" s="71">
        <v>0.9</v>
      </c>
      <c r="E36" s="72" t="s">
        <v>392</v>
      </c>
      <c r="F36" s="68" t="s">
        <v>392</v>
      </c>
      <c r="G36" s="65">
        <v>23</v>
      </c>
      <c r="H36" s="62">
        <v>3.4</v>
      </c>
      <c r="I36" s="66" t="s">
        <v>409</v>
      </c>
      <c r="J36" s="67" t="s">
        <v>450</v>
      </c>
      <c r="K36" s="67" t="s">
        <v>450</v>
      </c>
      <c r="L36" s="67" t="s">
        <v>450</v>
      </c>
      <c r="M36" s="70" t="s">
        <v>457</v>
      </c>
      <c r="N36" s="68" t="s">
        <v>450</v>
      </c>
      <c r="O36" s="68" t="s">
        <v>450</v>
      </c>
    </row>
    <row r="37" spans="1:15" x14ac:dyDescent="0.25">
      <c r="A37" s="59" t="s">
        <v>52</v>
      </c>
      <c r="B37" s="60" t="s">
        <v>391</v>
      </c>
      <c r="C37" s="61">
        <v>174.51000000000002</v>
      </c>
      <c r="D37" s="71">
        <v>0.9</v>
      </c>
      <c r="E37" s="72" t="s">
        <v>392</v>
      </c>
      <c r="F37" s="68" t="s">
        <v>392</v>
      </c>
      <c r="G37" s="65">
        <v>23</v>
      </c>
      <c r="H37" s="62">
        <v>3.4</v>
      </c>
      <c r="I37" s="66" t="s">
        <v>409</v>
      </c>
      <c r="J37" s="67" t="s">
        <v>450</v>
      </c>
      <c r="K37" s="67" t="s">
        <v>450</v>
      </c>
      <c r="L37" s="67" t="s">
        <v>450</v>
      </c>
      <c r="M37" s="68" t="s">
        <v>450</v>
      </c>
      <c r="N37" s="68" t="s">
        <v>450</v>
      </c>
      <c r="O37" s="68" t="s">
        <v>450</v>
      </c>
    </row>
    <row r="38" spans="1:15" x14ac:dyDescent="0.25">
      <c r="A38" s="66" t="s">
        <v>460</v>
      </c>
      <c r="B38" s="73" t="s">
        <v>462</v>
      </c>
      <c r="C38" s="74">
        <v>30</v>
      </c>
      <c r="D38" s="62">
        <v>0.89999999999999991</v>
      </c>
      <c r="E38" s="63">
        <v>1.1834115780078216</v>
      </c>
      <c r="F38" s="64">
        <v>1</v>
      </c>
      <c r="G38" s="65">
        <v>19.171267563726708</v>
      </c>
      <c r="H38" s="62">
        <v>6.5</v>
      </c>
      <c r="I38" s="66" t="s">
        <v>409</v>
      </c>
      <c r="J38" s="67" t="s">
        <v>450</v>
      </c>
      <c r="K38" s="67" t="s">
        <v>450</v>
      </c>
      <c r="L38" s="67" t="s">
        <v>450</v>
      </c>
      <c r="M38" s="68" t="s">
        <v>450</v>
      </c>
      <c r="N38" s="68" t="s">
        <v>450</v>
      </c>
      <c r="O38" s="68" t="s">
        <v>450</v>
      </c>
    </row>
    <row r="39" spans="1:15" x14ac:dyDescent="0.25">
      <c r="A39" s="66" t="s">
        <v>461</v>
      </c>
      <c r="B39" s="73" t="s">
        <v>463</v>
      </c>
      <c r="C39" s="74">
        <v>35</v>
      </c>
      <c r="D39" s="62">
        <v>0.89999999999999991</v>
      </c>
      <c r="E39" s="63">
        <v>1.1435660703307906</v>
      </c>
      <c r="F39" s="64">
        <v>1</v>
      </c>
      <c r="G39" s="65">
        <v>18.525770339358807</v>
      </c>
      <c r="H39" s="62">
        <v>6.5</v>
      </c>
      <c r="I39" s="66" t="s">
        <v>409</v>
      </c>
      <c r="J39" s="67" t="s">
        <v>450</v>
      </c>
      <c r="K39" s="67" t="s">
        <v>450</v>
      </c>
      <c r="L39" s="67" t="s">
        <v>450</v>
      </c>
      <c r="M39" s="68" t="s">
        <v>450</v>
      </c>
      <c r="N39" s="68" t="s">
        <v>450</v>
      </c>
      <c r="O39" s="68" t="s">
        <v>450</v>
      </c>
    </row>
    <row r="40" spans="1:15" x14ac:dyDescent="0.25">
      <c r="A40" s="59" t="s">
        <v>55</v>
      </c>
      <c r="B40" s="60" t="s">
        <v>59</v>
      </c>
      <c r="C40" s="61">
        <v>31.05</v>
      </c>
      <c r="D40" s="62">
        <v>1.046103896103896</v>
      </c>
      <c r="E40" s="63">
        <v>1.3147514702678329</v>
      </c>
      <c r="F40" s="64">
        <v>1</v>
      </c>
      <c r="G40" s="65">
        <v>105.90323093007393</v>
      </c>
      <c r="H40" s="62">
        <v>6</v>
      </c>
      <c r="I40" s="66" t="s">
        <v>544</v>
      </c>
      <c r="J40" s="69" t="s">
        <v>545</v>
      </c>
      <c r="K40" s="69" t="s">
        <v>545</v>
      </c>
      <c r="L40" s="69" t="s">
        <v>545</v>
      </c>
      <c r="M40" s="68" t="s">
        <v>450</v>
      </c>
      <c r="N40" s="68" t="s">
        <v>450</v>
      </c>
      <c r="O40" s="68" t="s">
        <v>450</v>
      </c>
    </row>
    <row r="41" spans="1:15" x14ac:dyDescent="0.25">
      <c r="A41" s="59" t="s">
        <v>56</v>
      </c>
      <c r="B41" s="60" t="s">
        <v>59</v>
      </c>
      <c r="C41" s="61">
        <v>28.58</v>
      </c>
      <c r="D41" s="62">
        <v>1.046103896103896</v>
      </c>
      <c r="E41" s="63">
        <v>1.3147514702678329</v>
      </c>
      <c r="F41" s="64">
        <v>1</v>
      </c>
      <c r="G41" s="65">
        <v>105.90323093007393</v>
      </c>
      <c r="H41" s="62">
        <v>6</v>
      </c>
      <c r="I41" s="66" t="s">
        <v>544</v>
      </c>
      <c r="J41" s="69" t="s">
        <v>545</v>
      </c>
      <c r="K41" s="69" t="s">
        <v>545</v>
      </c>
      <c r="L41" s="69" t="s">
        <v>545</v>
      </c>
      <c r="M41" s="68" t="s">
        <v>450</v>
      </c>
      <c r="N41" s="68" t="s">
        <v>450</v>
      </c>
      <c r="O41" s="68" t="s">
        <v>450</v>
      </c>
    </row>
    <row r="42" spans="1:15" x14ac:dyDescent="0.25">
      <c r="A42" s="59" t="s">
        <v>57</v>
      </c>
      <c r="B42" s="60" t="s">
        <v>60</v>
      </c>
      <c r="C42" s="61">
        <v>53.3</v>
      </c>
      <c r="D42" s="62">
        <v>0.9</v>
      </c>
      <c r="E42" s="63">
        <v>0.37352151840768116</v>
      </c>
      <c r="F42" s="64">
        <v>1</v>
      </c>
      <c r="G42" s="65">
        <v>4.0340323988029567</v>
      </c>
      <c r="H42" s="62">
        <v>6</v>
      </c>
      <c r="I42" s="66" t="s">
        <v>408</v>
      </c>
      <c r="J42" s="67" t="s">
        <v>450</v>
      </c>
      <c r="K42" s="67" t="s">
        <v>450</v>
      </c>
      <c r="L42" s="67" t="s">
        <v>450</v>
      </c>
      <c r="M42" s="68" t="s">
        <v>450</v>
      </c>
      <c r="N42" s="68" t="s">
        <v>450</v>
      </c>
      <c r="O42" s="68" t="s">
        <v>450</v>
      </c>
    </row>
    <row r="43" spans="1:15" x14ac:dyDescent="0.25">
      <c r="A43" s="59" t="s">
        <v>58</v>
      </c>
      <c r="B43" s="60" t="s">
        <v>61</v>
      </c>
      <c r="C43" s="61">
        <v>49.27</v>
      </c>
      <c r="D43" s="62">
        <v>0.98571428571428577</v>
      </c>
      <c r="E43" s="63">
        <v>0.94612146127282426</v>
      </c>
      <c r="F43" s="64">
        <v>1</v>
      </c>
      <c r="G43" s="65">
        <v>46.630272019874916</v>
      </c>
      <c r="H43" s="62">
        <v>6.5</v>
      </c>
      <c r="I43" s="66" t="s">
        <v>411</v>
      </c>
      <c r="J43" s="69" t="s">
        <v>456</v>
      </c>
      <c r="K43" s="69" t="s">
        <v>456</v>
      </c>
      <c r="L43" s="69" t="s">
        <v>456</v>
      </c>
      <c r="M43" s="68" t="s">
        <v>450</v>
      </c>
      <c r="N43" s="68" t="s">
        <v>450</v>
      </c>
      <c r="O43" s="68" t="s">
        <v>450</v>
      </c>
    </row>
    <row r="44" spans="1:15" x14ac:dyDescent="0.25">
      <c r="J44" s="44"/>
      <c r="K44" s="44"/>
      <c r="L44" s="44"/>
      <c r="M44" s="44"/>
      <c r="N44" s="44"/>
      <c r="O44" s="44"/>
    </row>
  </sheetData>
  <printOptions gridLines="1"/>
  <pageMargins left="0.78740157480314965" right="0.70866141732283472" top="1.1417322834645669" bottom="0.78740157480314965" header="0.82677165354330717" footer="0.31496062992125984"/>
  <pageSetup paperSize="9" scale="96" fitToHeight="2" orientation="landscape" horizontalDpi="300" verticalDpi="300" r:id="rId1"/>
  <headerFooter>
    <oddHeader>&amp;L&amp;A&amp;RTABULKA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workbookViewId="0">
      <selection activeCell="X1" sqref="X1:Y1048576"/>
    </sheetView>
  </sheetViews>
  <sheetFormatPr defaultRowHeight="14.25" customHeight="1" x14ac:dyDescent="0.25"/>
  <cols>
    <col min="1" max="1" width="7.28515625" style="34" customWidth="1"/>
    <col min="2" max="2" width="18" style="2" customWidth="1"/>
    <col min="3" max="3" width="8" style="3" customWidth="1"/>
    <col min="4" max="4" width="5.42578125" style="3" customWidth="1"/>
    <col min="5" max="5" width="6.140625" style="3" customWidth="1"/>
    <col min="6" max="8" width="10.42578125" style="4" customWidth="1"/>
    <col min="9" max="10" width="6.140625" style="4" customWidth="1"/>
    <col min="11" max="11" width="9.28515625" style="11" customWidth="1"/>
    <col min="12" max="12" width="12.28515625" style="4" customWidth="1"/>
    <col min="13" max="13" width="7.42578125" style="4" customWidth="1"/>
    <col min="14" max="17" width="5" style="4" hidden="1" customWidth="1"/>
    <col min="18" max="18" width="8.42578125" style="4" hidden="1" customWidth="1"/>
    <col min="19" max="19" width="10.42578125" style="4" customWidth="1"/>
    <col min="20" max="20" width="10.28515625" style="4" customWidth="1"/>
    <col min="21" max="21" width="10.7109375" style="11" customWidth="1"/>
    <col min="22" max="22" width="9.5703125" style="4" customWidth="1"/>
  </cols>
  <sheetData>
    <row r="1" spans="1:22" s="30" customFormat="1" ht="61.5" customHeight="1" x14ac:dyDescent="0.25">
      <c r="A1" s="23" t="s">
        <v>53</v>
      </c>
      <c r="B1" s="23" t="s">
        <v>54</v>
      </c>
      <c r="C1" s="23" t="s">
        <v>406</v>
      </c>
      <c r="D1" s="23" t="s">
        <v>390</v>
      </c>
      <c r="E1" s="23" t="s">
        <v>484</v>
      </c>
      <c r="F1" s="23" t="s">
        <v>508</v>
      </c>
      <c r="G1" s="23" t="s">
        <v>506</v>
      </c>
      <c r="H1" s="23" t="s">
        <v>507</v>
      </c>
      <c r="I1" s="23" t="s">
        <v>536</v>
      </c>
      <c r="J1" s="23" t="s">
        <v>537</v>
      </c>
      <c r="K1" s="23" t="s">
        <v>485</v>
      </c>
      <c r="L1" s="23" t="s">
        <v>511</v>
      </c>
      <c r="M1" s="23" t="s">
        <v>510</v>
      </c>
      <c r="N1" s="23" t="s">
        <v>487</v>
      </c>
      <c r="O1" s="23" t="s">
        <v>488</v>
      </c>
      <c r="P1" s="23" t="s">
        <v>489</v>
      </c>
      <c r="Q1" s="23" t="s">
        <v>490</v>
      </c>
      <c r="R1" s="23" t="s">
        <v>538</v>
      </c>
      <c r="S1" s="23" t="s">
        <v>509</v>
      </c>
      <c r="T1" s="23" t="s">
        <v>491</v>
      </c>
      <c r="U1" s="24" t="s">
        <v>535</v>
      </c>
      <c r="V1" s="23" t="s">
        <v>492</v>
      </c>
    </row>
    <row r="2" spans="1:22" ht="14.25" customHeight="1" x14ac:dyDescent="0.25">
      <c r="A2" s="34" t="s">
        <v>0</v>
      </c>
      <c r="B2" s="14" t="s">
        <v>10</v>
      </c>
      <c r="C2" s="33">
        <v>41.71</v>
      </c>
      <c r="D2" s="17">
        <v>1.05</v>
      </c>
      <c r="E2" s="15"/>
      <c r="F2" s="21">
        <v>3</v>
      </c>
      <c r="G2" s="16"/>
      <c r="H2" s="16"/>
      <c r="I2" s="15">
        <v>8</v>
      </c>
      <c r="J2" s="15">
        <v>35</v>
      </c>
      <c r="K2" s="15" t="s">
        <v>486</v>
      </c>
      <c r="L2" s="15">
        <v>2</v>
      </c>
      <c r="M2" s="22">
        <v>3.5</v>
      </c>
      <c r="N2" s="33">
        <v>45</v>
      </c>
      <c r="O2" s="22">
        <v>1</v>
      </c>
      <c r="P2" s="16">
        <v>1.5</v>
      </c>
      <c r="Q2" s="16">
        <v>2</v>
      </c>
      <c r="R2" s="20">
        <f t="shared" ref="R2:R43" si="0">(F2*O2+G2*P2+H2*Q2)/N2</f>
        <v>6.6666666666666666E-2</v>
      </c>
      <c r="S2" s="20">
        <v>1</v>
      </c>
      <c r="T2" s="15" t="s">
        <v>486</v>
      </c>
      <c r="U2" s="22"/>
      <c r="V2" s="41"/>
    </row>
    <row r="3" spans="1:22" ht="14.25" customHeight="1" x14ac:dyDescent="0.25">
      <c r="A3" s="34" t="s">
        <v>1</v>
      </c>
      <c r="B3" s="14" t="s">
        <v>11</v>
      </c>
      <c r="C3" s="33">
        <v>22</v>
      </c>
      <c r="D3" s="17">
        <v>0.5</v>
      </c>
      <c r="E3" s="15"/>
      <c r="F3" s="21">
        <v>3</v>
      </c>
      <c r="G3" s="16"/>
      <c r="H3" s="16"/>
      <c r="I3" s="15">
        <v>8</v>
      </c>
      <c r="J3" s="15">
        <v>70</v>
      </c>
      <c r="K3" s="15" t="s">
        <v>486</v>
      </c>
      <c r="L3" s="15">
        <v>2</v>
      </c>
      <c r="M3" s="22">
        <v>3.5</v>
      </c>
      <c r="N3" s="33">
        <v>100</v>
      </c>
      <c r="O3" s="22">
        <v>1</v>
      </c>
      <c r="P3" s="16">
        <v>1.5</v>
      </c>
      <c r="Q3" s="16">
        <v>2</v>
      </c>
      <c r="R3" s="20">
        <f t="shared" si="0"/>
        <v>0.03</v>
      </c>
      <c r="S3" s="20">
        <v>1</v>
      </c>
      <c r="T3" s="15" t="s">
        <v>486</v>
      </c>
      <c r="U3" s="22"/>
      <c r="V3" s="41"/>
    </row>
    <row r="4" spans="1:22" ht="14.25" customHeight="1" x14ac:dyDescent="0.25">
      <c r="A4" s="34" t="s">
        <v>2</v>
      </c>
      <c r="B4" s="14" t="s">
        <v>12</v>
      </c>
      <c r="C4" s="33">
        <v>28</v>
      </c>
      <c r="D4" s="17">
        <v>0.9</v>
      </c>
      <c r="E4" s="15"/>
      <c r="F4" s="21">
        <v>3</v>
      </c>
      <c r="G4" s="16"/>
      <c r="H4" s="16"/>
      <c r="I4" s="15">
        <v>8</v>
      </c>
      <c r="J4" s="15">
        <v>45</v>
      </c>
      <c r="K4" s="15" t="s">
        <v>486</v>
      </c>
      <c r="L4" s="15">
        <v>2</v>
      </c>
      <c r="M4" s="22">
        <v>3.5</v>
      </c>
      <c r="N4" s="33">
        <v>70</v>
      </c>
      <c r="O4" s="22">
        <v>1</v>
      </c>
      <c r="P4" s="16">
        <v>1.5</v>
      </c>
      <c r="Q4" s="16">
        <v>2</v>
      </c>
      <c r="R4" s="20">
        <f t="shared" si="0"/>
        <v>4.2857142857142858E-2</v>
      </c>
      <c r="S4" s="20">
        <v>1</v>
      </c>
      <c r="T4" s="15" t="s">
        <v>486</v>
      </c>
      <c r="U4" s="22"/>
      <c r="V4" s="41"/>
    </row>
    <row r="5" spans="1:22" ht="14.25" customHeight="1" x14ac:dyDescent="0.25">
      <c r="A5" s="34" t="s">
        <v>3</v>
      </c>
      <c r="B5" s="14" t="s">
        <v>13</v>
      </c>
      <c r="C5" s="33">
        <v>169.53</v>
      </c>
      <c r="D5" s="17">
        <v>1</v>
      </c>
      <c r="E5" s="15"/>
      <c r="F5" s="21">
        <f>25*1.35</f>
        <v>33.75</v>
      </c>
      <c r="G5" s="16"/>
      <c r="H5" s="16"/>
      <c r="I5" s="15">
        <v>22</v>
      </c>
      <c r="J5" s="15">
        <v>25</v>
      </c>
      <c r="K5" s="15" t="s">
        <v>486</v>
      </c>
      <c r="L5" s="15">
        <v>1.25</v>
      </c>
      <c r="M5" s="22">
        <v>2</v>
      </c>
      <c r="N5" s="33">
        <v>60</v>
      </c>
      <c r="O5" s="22">
        <v>1</v>
      </c>
      <c r="P5" s="16">
        <v>1.5</v>
      </c>
      <c r="Q5" s="16">
        <v>2</v>
      </c>
      <c r="R5" s="20">
        <f t="shared" si="0"/>
        <v>0.5625</v>
      </c>
      <c r="S5" s="20">
        <v>1</v>
      </c>
      <c r="T5" s="15" t="s">
        <v>486</v>
      </c>
      <c r="U5" s="22"/>
      <c r="V5" s="41"/>
    </row>
    <row r="6" spans="1:22" ht="14.25" customHeight="1" x14ac:dyDescent="0.25">
      <c r="A6" s="34" t="s">
        <v>4</v>
      </c>
      <c r="B6" s="14" t="s">
        <v>14</v>
      </c>
      <c r="C6" s="33">
        <v>20.68</v>
      </c>
      <c r="D6" s="17">
        <v>0.70799999999999996</v>
      </c>
      <c r="E6" s="15"/>
      <c r="F6" s="21">
        <f t="shared" ref="F6" si="1">+ROUNDUP(C6/8,0)</f>
        <v>3</v>
      </c>
      <c r="G6" s="16"/>
      <c r="H6" s="16"/>
      <c r="I6" s="15">
        <v>22</v>
      </c>
      <c r="J6" s="15">
        <v>40</v>
      </c>
      <c r="K6" s="15" t="s">
        <v>486</v>
      </c>
      <c r="L6" s="15">
        <v>1.25</v>
      </c>
      <c r="M6" s="22">
        <v>2</v>
      </c>
      <c r="N6" s="33">
        <v>90</v>
      </c>
      <c r="O6" s="22">
        <v>1</v>
      </c>
      <c r="P6" s="16">
        <v>1.5</v>
      </c>
      <c r="Q6" s="16">
        <v>2</v>
      </c>
      <c r="R6" s="20">
        <f t="shared" si="0"/>
        <v>3.3333333333333333E-2</v>
      </c>
      <c r="S6" s="20">
        <v>1</v>
      </c>
      <c r="T6" s="15" t="s">
        <v>486</v>
      </c>
      <c r="U6" s="22"/>
      <c r="V6" s="41"/>
    </row>
    <row r="7" spans="1:22" ht="14.25" customHeight="1" x14ac:dyDescent="0.25">
      <c r="A7" s="34" t="s">
        <v>5</v>
      </c>
      <c r="B7" s="14" t="s">
        <v>15</v>
      </c>
      <c r="C7" s="33">
        <v>49.63</v>
      </c>
      <c r="D7" s="17">
        <v>0.85</v>
      </c>
      <c r="E7" s="15"/>
      <c r="F7" s="21">
        <f>+F5+F6+F8+F9+F12+F13</f>
        <v>126.61666666666666</v>
      </c>
      <c r="G7" s="21">
        <f t="shared" ref="G7:H7" si="2">+G5+G6+G8+G9+G12+G13</f>
        <v>33.933333333333337</v>
      </c>
      <c r="H7" s="21">
        <f t="shared" si="2"/>
        <v>4</v>
      </c>
      <c r="I7" s="15"/>
      <c r="J7" s="15"/>
      <c r="K7" s="15"/>
      <c r="L7" s="15">
        <v>1.8</v>
      </c>
      <c r="M7" s="22">
        <v>2</v>
      </c>
      <c r="N7" s="33">
        <v>150</v>
      </c>
      <c r="O7" s="22">
        <v>1</v>
      </c>
      <c r="P7" s="16">
        <v>1.4</v>
      </c>
      <c r="Q7" s="16">
        <v>1.8</v>
      </c>
      <c r="R7" s="42">
        <f t="shared" si="0"/>
        <v>1.2088222222222222</v>
      </c>
      <c r="S7" s="42">
        <v>1.5</v>
      </c>
      <c r="T7" s="15" t="s">
        <v>486</v>
      </c>
      <c r="U7" s="22">
        <f>+(F7*0.25+G7*0.25+H7*3)*0.4</f>
        <v>20.855000000000004</v>
      </c>
      <c r="V7" s="15" t="s">
        <v>486</v>
      </c>
    </row>
    <row r="8" spans="1:22" ht="14.25" customHeight="1" x14ac:dyDescent="0.25">
      <c r="A8" s="34" t="s">
        <v>6</v>
      </c>
      <c r="B8" s="14" t="s">
        <v>16</v>
      </c>
      <c r="C8" s="33">
        <v>10.6</v>
      </c>
      <c r="D8" s="17">
        <v>0.9</v>
      </c>
      <c r="E8" s="15"/>
      <c r="F8" s="21">
        <v>3</v>
      </c>
      <c r="G8" s="16"/>
      <c r="H8" s="16"/>
      <c r="I8" s="15">
        <v>5</v>
      </c>
      <c r="J8" s="15">
        <v>45</v>
      </c>
      <c r="K8" s="15" t="s">
        <v>486</v>
      </c>
      <c r="L8" s="15">
        <v>0.8</v>
      </c>
      <c r="M8" s="22">
        <f t="shared" ref="M8" si="3">+L8/0.55</f>
        <v>1.4545454545454546</v>
      </c>
      <c r="N8" s="33">
        <v>70</v>
      </c>
      <c r="O8" s="22">
        <v>1</v>
      </c>
      <c r="P8" s="16">
        <v>1.5</v>
      </c>
      <c r="Q8" s="16">
        <v>2</v>
      </c>
      <c r="R8" s="20">
        <f t="shared" si="0"/>
        <v>4.2857142857142858E-2</v>
      </c>
      <c r="S8" s="20">
        <v>1</v>
      </c>
      <c r="T8" s="15" t="s">
        <v>486</v>
      </c>
      <c r="U8" s="22"/>
      <c r="V8" s="41"/>
    </row>
    <row r="9" spans="1:22" ht="14.25" customHeight="1" x14ac:dyDescent="0.25">
      <c r="A9" s="34" t="s">
        <v>7</v>
      </c>
      <c r="B9" s="14" t="s">
        <v>17</v>
      </c>
      <c r="C9" s="21" t="s">
        <v>493</v>
      </c>
      <c r="D9" s="17">
        <v>0.94285714285714284</v>
      </c>
      <c r="E9" s="15"/>
      <c r="F9" s="21">
        <f>+ROUNDUP(114/1.4,0)+6*1.3-G9-H9</f>
        <v>59.86666666666666</v>
      </c>
      <c r="G9" s="21">
        <f>+(ROUNDUP(114/1.4,0)+6*1.3)/3</f>
        <v>29.933333333333334</v>
      </c>
      <c r="H9" s="21"/>
      <c r="I9" s="15">
        <v>19</v>
      </c>
      <c r="J9" s="15">
        <v>45</v>
      </c>
      <c r="K9" s="15" t="s">
        <v>486</v>
      </c>
      <c r="L9" s="15" t="s">
        <v>494</v>
      </c>
      <c r="M9" s="17" t="s">
        <v>495</v>
      </c>
      <c r="N9" s="33">
        <v>130</v>
      </c>
      <c r="O9" s="22">
        <v>1</v>
      </c>
      <c r="P9" s="16">
        <v>1.5</v>
      </c>
      <c r="Q9" s="16">
        <v>2</v>
      </c>
      <c r="R9" s="42">
        <f t="shared" si="0"/>
        <v>0.80589743589743579</v>
      </c>
      <c r="S9" s="42">
        <v>1</v>
      </c>
      <c r="T9" s="15" t="s">
        <v>486</v>
      </c>
      <c r="U9" s="22"/>
      <c r="V9" s="41"/>
    </row>
    <row r="10" spans="1:22" ht="14.25" customHeight="1" x14ac:dyDescent="0.25">
      <c r="A10" s="34" t="s">
        <v>8</v>
      </c>
      <c r="B10" s="14" t="s">
        <v>18</v>
      </c>
      <c r="C10" s="33">
        <v>158.12</v>
      </c>
      <c r="D10" s="17">
        <v>0.85</v>
      </c>
      <c r="E10" s="15"/>
      <c r="F10" s="21">
        <f>+F14+F15+F16+F17+F25</f>
        <v>20</v>
      </c>
      <c r="G10" s="21">
        <f t="shared" ref="G10:H10" si="4">+G14+G15+G16+G17+G25</f>
        <v>14</v>
      </c>
      <c r="H10" s="21">
        <f t="shared" si="4"/>
        <v>14</v>
      </c>
      <c r="I10" s="15"/>
      <c r="J10" s="15"/>
      <c r="K10" s="15"/>
      <c r="L10" s="15">
        <v>1.6</v>
      </c>
      <c r="M10" s="22">
        <v>2.5</v>
      </c>
      <c r="N10" s="33">
        <v>60</v>
      </c>
      <c r="O10" s="22">
        <v>0.8</v>
      </c>
      <c r="P10" s="16">
        <v>1.2</v>
      </c>
      <c r="Q10" s="16">
        <v>1.4</v>
      </c>
      <c r="R10" s="42">
        <f t="shared" si="0"/>
        <v>0.87333333333333318</v>
      </c>
      <c r="S10" s="42">
        <v>1</v>
      </c>
      <c r="T10" s="15" t="s">
        <v>486</v>
      </c>
      <c r="U10" s="22">
        <f>+(F10*0.25+G10*0.25+H10*3)*0.4</f>
        <v>20.200000000000003</v>
      </c>
      <c r="V10" s="15" t="s">
        <v>486</v>
      </c>
    </row>
    <row r="11" spans="1:22" ht="14.25" customHeight="1" x14ac:dyDescent="0.25">
      <c r="A11" s="34" t="s">
        <v>9</v>
      </c>
      <c r="B11" s="14" t="s">
        <v>407</v>
      </c>
      <c r="C11" s="33">
        <v>20.54</v>
      </c>
      <c r="D11" s="17">
        <v>0.9</v>
      </c>
      <c r="E11" s="15"/>
      <c r="F11" s="21">
        <v>3</v>
      </c>
      <c r="G11" s="16"/>
      <c r="H11" s="16"/>
      <c r="I11" s="15">
        <v>8</v>
      </c>
      <c r="J11" s="15">
        <v>45</v>
      </c>
      <c r="K11" s="15" t="s">
        <v>486</v>
      </c>
      <c r="L11" s="15">
        <v>2</v>
      </c>
      <c r="M11" s="22">
        <v>3.5</v>
      </c>
      <c r="N11" s="33">
        <v>70</v>
      </c>
      <c r="O11" s="22">
        <v>1</v>
      </c>
      <c r="P11" s="16">
        <v>1.5</v>
      </c>
      <c r="Q11" s="16">
        <v>2</v>
      </c>
      <c r="R11" s="20">
        <f t="shared" si="0"/>
        <v>4.2857142857142858E-2</v>
      </c>
      <c r="S11" s="20">
        <v>1</v>
      </c>
      <c r="T11" s="15" t="s">
        <v>486</v>
      </c>
      <c r="U11" s="22"/>
      <c r="V11" s="41"/>
    </row>
    <row r="12" spans="1:22" ht="14.25" customHeight="1" x14ac:dyDescent="0.25">
      <c r="A12" s="34" t="s">
        <v>19</v>
      </c>
      <c r="B12" s="14" t="s">
        <v>32</v>
      </c>
      <c r="C12" s="33">
        <v>172.32</v>
      </c>
      <c r="D12" s="17">
        <v>0.98888888888888893</v>
      </c>
      <c r="E12" s="15"/>
      <c r="F12" s="21">
        <f>+ROUNDUP(C12/8,0)</f>
        <v>22</v>
      </c>
      <c r="G12" s="16"/>
      <c r="H12" s="16"/>
      <c r="I12" s="15">
        <v>22</v>
      </c>
      <c r="J12" s="15">
        <v>25</v>
      </c>
      <c r="K12" s="15" t="s">
        <v>486</v>
      </c>
      <c r="L12" s="15">
        <v>1</v>
      </c>
      <c r="M12" s="22">
        <v>1.5</v>
      </c>
      <c r="N12" s="33">
        <v>60</v>
      </c>
      <c r="O12" s="22">
        <v>1</v>
      </c>
      <c r="P12" s="16">
        <v>1.5</v>
      </c>
      <c r="Q12" s="16">
        <v>2</v>
      </c>
      <c r="R12" s="20">
        <f t="shared" si="0"/>
        <v>0.36666666666666664</v>
      </c>
      <c r="S12" s="20">
        <v>1</v>
      </c>
      <c r="T12" s="15" t="s">
        <v>486</v>
      </c>
      <c r="U12" s="22"/>
      <c r="V12" s="41"/>
    </row>
    <row r="13" spans="1:22" ht="14.25" customHeight="1" x14ac:dyDescent="0.25">
      <c r="A13" s="34" t="s">
        <v>20</v>
      </c>
      <c r="B13" s="14" t="s">
        <v>391</v>
      </c>
      <c r="C13" s="33">
        <v>238.32999999999996</v>
      </c>
      <c r="D13" s="22">
        <v>0.9</v>
      </c>
      <c r="E13" s="15">
        <v>10</v>
      </c>
      <c r="F13" s="21">
        <f>+ROUNDUP(E13*1.3,0)-G13-H13</f>
        <v>5</v>
      </c>
      <c r="G13" s="16">
        <v>4</v>
      </c>
      <c r="H13" s="16">
        <v>4</v>
      </c>
      <c r="I13" s="15">
        <v>15</v>
      </c>
      <c r="J13" s="15">
        <v>45</v>
      </c>
      <c r="K13" s="15" t="s">
        <v>486</v>
      </c>
      <c r="L13" s="15" t="s">
        <v>496</v>
      </c>
      <c r="M13" s="17" t="s">
        <v>497</v>
      </c>
      <c r="N13" s="33">
        <v>130</v>
      </c>
      <c r="O13" s="22">
        <v>1</v>
      </c>
      <c r="P13" s="16">
        <v>1.5</v>
      </c>
      <c r="Q13" s="16">
        <v>2</v>
      </c>
      <c r="R13" s="20">
        <f t="shared" si="0"/>
        <v>0.14615384615384616</v>
      </c>
      <c r="S13" s="20">
        <v>1</v>
      </c>
      <c r="T13" s="15" t="s">
        <v>486</v>
      </c>
      <c r="U13" s="22"/>
      <c r="V13" s="41"/>
    </row>
    <row r="14" spans="1:22" ht="14.25" customHeight="1" x14ac:dyDescent="0.25">
      <c r="A14" s="34" t="s">
        <v>21</v>
      </c>
      <c r="B14" s="14" t="s">
        <v>33</v>
      </c>
      <c r="C14" s="21" t="s">
        <v>498</v>
      </c>
      <c r="D14" s="17">
        <v>0.9</v>
      </c>
      <c r="E14" s="15"/>
      <c r="F14" s="21">
        <f>+ROUNDUP(46/1.4,0)-G14-H14</f>
        <v>11</v>
      </c>
      <c r="G14" s="16">
        <v>11</v>
      </c>
      <c r="H14" s="16">
        <v>11</v>
      </c>
      <c r="I14" s="15">
        <v>9</v>
      </c>
      <c r="J14" s="15">
        <v>45</v>
      </c>
      <c r="K14" s="15" t="s">
        <v>486</v>
      </c>
      <c r="L14" s="15">
        <v>0.8</v>
      </c>
      <c r="M14" s="22">
        <f t="shared" ref="M14:M32" si="5">+L14/0.55</f>
        <v>1.4545454545454546</v>
      </c>
      <c r="N14" s="33">
        <v>130</v>
      </c>
      <c r="O14" s="22">
        <v>1</v>
      </c>
      <c r="P14" s="16">
        <v>1.5</v>
      </c>
      <c r="Q14" s="16">
        <v>2</v>
      </c>
      <c r="R14" s="20">
        <f t="shared" si="0"/>
        <v>0.38076923076923075</v>
      </c>
      <c r="S14" s="20">
        <v>1</v>
      </c>
      <c r="T14" s="15" t="s">
        <v>486</v>
      </c>
      <c r="U14" s="22"/>
      <c r="V14" s="41"/>
    </row>
    <row r="15" spans="1:22" ht="14.25" customHeight="1" x14ac:dyDescent="0.25">
      <c r="A15" s="34" t="s">
        <v>22</v>
      </c>
      <c r="B15" s="14" t="s">
        <v>34</v>
      </c>
      <c r="C15" s="33">
        <v>24.08</v>
      </c>
      <c r="D15" s="17">
        <v>0.9</v>
      </c>
      <c r="E15" s="15"/>
      <c r="F15" s="21">
        <v>3</v>
      </c>
      <c r="G15" s="16"/>
      <c r="H15" s="16"/>
      <c r="I15" s="15">
        <v>7</v>
      </c>
      <c r="J15" s="15">
        <v>45</v>
      </c>
      <c r="K15" s="15" t="s">
        <v>486</v>
      </c>
      <c r="L15" s="15">
        <v>0.8</v>
      </c>
      <c r="M15" s="22">
        <f t="shared" si="5"/>
        <v>1.4545454545454546</v>
      </c>
      <c r="N15" s="33">
        <v>70</v>
      </c>
      <c r="O15" s="22">
        <v>1</v>
      </c>
      <c r="P15" s="16">
        <v>1.5</v>
      </c>
      <c r="Q15" s="16">
        <v>2</v>
      </c>
      <c r="R15" s="20">
        <f t="shared" si="0"/>
        <v>4.2857142857142858E-2</v>
      </c>
      <c r="S15" s="20">
        <v>1</v>
      </c>
      <c r="T15" s="15" t="s">
        <v>486</v>
      </c>
      <c r="U15" s="22"/>
      <c r="V15" s="41"/>
    </row>
    <row r="16" spans="1:22" ht="14.25" customHeight="1" x14ac:dyDescent="0.25">
      <c r="A16" s="34" t="s">
        <v>23</v>
      </c>
      <c r="B16" s="14" t="s">
        <v>35</v>
      </c>
      <c r="C16" s="33">
        <v>2.65</v>
      </c>
      <c r="D16" s="17">
        <v>0.99375000000000002</v>
      </c>
      <c r="E16" s="15"/>
      <c r="F16" s="21">
        <v>3</v>
      </c>
      <c r="G16" s="16"/>
      <c r="H16" s="16"/>
      <c r="I16" s="15">
        <v>2</v>
      </c>
      <c r="J16" s="15">
        <v>40</v>
      </c>
      <c r="K16" s="15" t="s">
        <v>486</v>
      </c>
      <c r="L16" s="15">
        <v>0.8</v>
      </c>
      <c r="M16" s="22">
        <f t="shared" si="5"/>
        <v>1.4545454545454546</v>
      </c>
      <c r="N16" s="33">
        <v>60</v>
      </c>
      <c r="O16" s="22">
        <v>1</v>
      </c>
      <c r="P16" s="16">
        <v>1.5</v>
      </c>
      <c r="Q16" s="16">
        <v>2</v>
      </c>
      <c r="R16" s="20">
        <f t="shared" si="0"/>
        <v>0.05</v>
      </c>
      <c r="S16" s="20">
        <v>1</v>
      </c>
      <c r="T16" s="15" t="s">
        <v>486</v>
      </c>
      <c r="U16" s="22"/>
      <c r="V16" s="41"/>
    </row>
    <row r="17" spans="1:22" ht="14.25" customHeight="1" x14ac:dyDescent="0.25">
      <c r="A17" s="34" t="s">
        <v>24</v>
      </c>
      <c r="B17" s="14" t="s">
        <v>391</v>
      </c>
      <c r="C17" s="33">
        <v>55.820000000000007</v>
      </c>
      <c r="D17" s="22">
        <v>0.9</v>
      </c>
      <c r="E17" s="15">
        <v>4</v>
      </c>
      <c r="F17" s="21">
        <f>+ROUNDUP(E17*1.3,0)-G17-H17</f>
        <v>2</v>
      </c>
      <c r="G17" s="16">
        <v>2</v>
      </c>
      <c r="H17" s="16">
        <v>2</v>
      </c>
      <c r="I17" s="15">
        <v>9</v>
      </c>
      <c r="J17" s="15">
        <v>45</v>
      </c>
      <c r="K17" s="15" t="s">
        <v>486</v>
      </c>
      <c r="L17" s="15">
        <v>1.7</v>
      </c>
      <c r="M17" s="22">
        <v>3</v>
      </c>
      <c r="N17" s="33">
        <v>130</v>
      </c>
      <c r="O17" s="22">
        <v>1</v>
      </c>
      <c r="P17" s="16">
        <v>1.5</v>
      </c>
      <c r="Q17" s="16">
        <v>2</v>
      </c>
      <c r="R17" s="20">
        <f t="shared" si="0"/>
        <v>6.9230769230769235E-2</v>
      </c>
      <c r="S17" s="20">
        <v>1</v>
      </c>
      <c r="T17" s="15" t="s">
        <v>486</v>
      </c>
      <c r="U17" s="22"/>
      <c r="V17" s="41"/>
    </row>
    <row r="18" spans="1:22" ht="14.25" customHeight="1" x14ac:dyDescent="0.25">
      <c r="A18" s="34" t="s">
        <v>25</v>
      </c>
      <c r="B18" s="14" t="s">
        <v>391</v>
      </c>
      <c r="C18" s="33">
        <v>193.43</v>
      </c>
      <c r="D18" s="22">
        <v>0.9</v>
      </c>
      <c r="E18" s="15">
        <v>5</v>
      </c>
      <c r="F18" s="21">
        <f>+ROUNDUP(E18*1.3,0)-G18-H18</f>
        <v>3</v>
      </c>
      <c r="G18" s="16">
        <v>2</v>
      </c>
      <c r="H18" s="16">
        <v>2</v>
      </c>
      <c r="I18" s="15">
        <v>15</v>
      </c>
      <c r="J18" s="15">
        <v>45</v>
      </c>
      <c r="K18" s="15" t="s">
        <v>486</v>
      </c>
      <c r="L18" s="15">
        <v>1.7</v>
      </c>
      <c r="M18" s="22">
        <v>3</v>
      </c>
      <c r="N18" s="33">
        <v>130</v>
      </c>
      <c r="O18" s="22">
        <v>1</v>
      </c>
      <c r="P18" s="16">
        <v>1.5</v>
      </c>
      <c r="Q18" s="16">
        <v>2</v>
      </c>
      <c r="R18" s="20">
        <f t="shared" si="0"/>
        <v>7.6923076923076927E-2</v>
      </c>
      <c r="S18" s="20">
        <v>1</v>
      </c>
      <c r="T18" s="15" t="s">
        <v>486</v>
      </c>
      <c r="U18" s="22"/>
      <c r="V18" s="41"/>
    </row>
    <row r="19" spans="1:22" ht="14.25" customHeight="1" x14ac:dyDescent="0.25">
      <c r="A19" s="34" t="s">
        <v>26</v>
      </c>
      <c r="B19" s="14" t="s">
        <v>15</v>
      </c>
      <c r="C19" s="33">
        <v>50.85</v>
      </c>
      <c r="D19" s="17">
        <v>0.85</v>
      </c>
      <c r="E19" s="15"/>
      <c r="F19" s="21">
        <f>+F18+F20+F21+F26</f>
        <v>16</v>
      </c>
      <c r="G19" s="21">
        <f t="shared" ref="G19:H19" si="6">+G18+G20+G21+G26</f>
        <v>10</v>
      </c>
      <c r="H19" s="21">
        <f t="shared" si="6"/>
        <v>10</v>
      </c>
      <c r="I19" s="15"/>
      <c r="J19" s="15"/>
      <c r="K19" s="15"/>
      <c r="L19" s="15">
        <v>1.8</v>
      </c>
      <c r="M19" s="22">
        <v>3</v>
      </c>
      <c r="N19" s="33">
        <v>150</v>
      </c>
      <c r="O19" s="22">
        <v>0.7</v>
      </c>
      <c r="P19" s="16">
        <v>1.1000000000000001</v>
      </c>
      <c r="Q19" s="16">
        <v>1.3</v>
      </c>
      <c r="R19" s="20">
        <f t="shared" si="0"/>
        <v>0.23466666666666669</v>
      </c>
      <c r="S19" s="20">
        <v>1</v>
      </c>
      <c r="T19" s="15" t="s">
        <v>486</v>
      </c>
      <c r="U19" s="22">
        <f>+(F19*0.25+G19*0.25+H19*3)*0.4</f>
        <v>14.600000000000001</v>
      </c>
      <c r="V19" s="15" t="s">
        <v>486</v>
      </c>
    </row>
    <row r="20" spans="1:22" ht="14.25" customHeight="1" x14ac:dyDescent="0.25">
      <c r="A20" s="34" t="s">
        <v>27</v>
      </c>
      <c r="B20" s="14" t="s">
        <v>16</v>
      </c>
      <c r="C20" s="33">
        <v>10.6</v>
      </c>
      <c r="D20" s="17">
        <v>0.9</v>
      </c>
      <c r="E20" s="15"/>
      <c r="F20" s="21">
        <v>3</v>
      </c>
      <c r="G20" s="16"/>
      <c r="H20" s="16"/>
      <c r="I20" s="15">
        <v>5</v>
      </c>
      <c r="J20" s="15">
        <v>45</v>
      </c>
      <c r="K20" s="15" t="s">
        <v>486</v>
      </c>
      <c r="L20" s="15">
        <v>0.8</v>
      </c>
      <c r="M20" s="22">
        <f t="shared" si="5"/>
        <v>1.4545454545454546</v>
      </c>
      <c r="N20" s="33">
        <v>70</v>
      </c>
      <c r="O20" s="22">
        <v>1</v>
      </c>
      <c r="P20" s="16">
        <v>1.5</v>
      </c>
      <c r="Q20" s="16">
        <v>2</v>
      </c>
      <c r="R20" s="20">
        <f t="shared" si="0"/>
        <v>4.2857142857142858E-2</v>
      </c>
      <c r="S20" s="20">
        <v>1</v>
      </c>
      <c r="T20" s="15" t="s">
        <v>486</v>
      </c>
      <c r="U20" s="22"/>
      <c r="V20" s="41"/>
    </row>
    <row r="21" spans="1:22" ht="14.25" customHeight="1" x14ac:dyDescent="0.25">
      <c r="A21" s="34" t="s">
        <v>28</v>
      </c>
      <c r="B21" s="14" t="s">
        <v>391</v>
      </c>
      <c r="C21" s="33">
        <v>192.98000000000002</v>
      </c>
      <c r="D21" s="22">
        <v>0.9</v>
      </c>
      <c r="E21" s="15">
        <v>5</v>
      </c>
      <c r="F21" s="21">
        <f>+ROUNDUP(E21*1.3,0)-G21-H21</f>
        <v>3</v>
      </c>
      <c r="G21" s="16">
        <v>2</v>
      </c>
      <c r="H21" s="16">
        <v>2</v>
      </c>
      <c r="I21" s="15">
        <v>15</v>
      </c>
      <c r="J21" s="15">
        <v>45</v>
      </c>
      <c r="K21" s="15" t="s">
        <v>486</v>
      </c>
      <c r="L21" s="15" t="s">
        <v>499</v>
      </c>
      <c r="M21" s="17" t="s">
        <v>500</v>
      </c>
      <c r="N21" s="33">
        <v>130</v>
      </c>
      <c r="O21" s="22">
        <v>1</v>
      </c>
      <c r="P21" s="16">
        <v>1.5</v>
      </c>
      <c r="Q21" s="16">
        <v>2</v>
      </c>
      <c r="R21" s="20">
        <f t="shared" si="0"/>
        <v>7.6923076923076927E-2</v>
      </c>
      <c r="S21" s="20">
        <v>1</v>
      </c>
      <c r="T21" s="15" t="s">
        <v>486</v>
      </c>
      <c r="U21" s="22"/>
      <c r="V21" s="41"/>
    </row>
    <row r="22" spans="1:22" ht="14.25" customHeight="1" x14ac:dyDescent="0.25">
      <c r="A22" s="34" t="s">
        <v>29</v>
      </c>
      <c r="B22" s="14" t="s">
        <v>36</v>
      </c>
      <c r="C22" s="33">
        <v>110.52999999999999</v>
      </c>
      <c r="D22" s="17">
        <v>0.98750000000000004</v>
      </c>
      <c r="E22" s="15"/>
      <c r="F22" s="21">
        <f>6*1.3</f>
        <v>7.8000000000000007</v>
      </c>
      <c r="G22" s="16"/>
      <c r="H22" s="16"/>
      <c r="I22" s="15">
        <v>10</v>
      </c>
      <c r="J22" s="15">
        <v>40</v>
      </c>
      <c r="K22" s="15" t="s">
        <v>486</v>
      </c>
      <c r="L22" s="15">
        <v>0.9</v>
      </c>
      <c r="M22" s="22">
        <v>1.5</v>
      </c>
      <c r="N22" s="33">
        <v>130</v>
      </c>
      <c r="O22" s="22">
        <v>1</v>
      </c>
      <c r="P22" s="16">
        <v>1.5</v>
      </c>
      <c r="Q22" s="16">
        <v>2</v>
      </c>
      <c r="R22" s="20">
        <f t="shared" si="0"/>
        <v>6.0000000000000005E-2</v>
      </c>
      <c r="S22" s="20">
        <v>1</v>
      </c>
      <c r="T22" s="15" t="s">
        <v>486</v>
      </c>
      <c r="U22" s="22"/>
      <c r="V22" s="41"/>
    </row>
    <row r="23" spans="1:22" ht="14.25" customHeight="1" x14ac:dyDescent="0.25">
      <c r="A23" s="34" t="s">
        <v>30</v>
      </c>
      <c r="B23" s="14" t="s">
        <v>37</v>
      </c>
      <c r="C23" s="33">
        <v>23.79</v>
      </c>
      <c r="D23" s="17">
        <v>1.046103896103896</v>
      </c>
      <c r="E23" s="15"/>
      <c r="F23" s="21">
        <f t="shared" ref="F23" si="7">+ROUNDUP(C23/8,0)</f>
        <v>3</v>
      </c>
      <c r="G23" s="16"/>
      <c r="H23" s="16"/>
      <c r="I23" s="15">
        <v>7</v>
      </c>
      <c r="J23" s="15">
        <v>40</v>
      </c>
      <c r="K23" s="15" t="s">
        <v>486</v>
      </c>
      <c r="L23" s="15">
        <v>1.8</v>
      </c>
      <c r="M23" s="22">
        <v>3</v>
      </c>
      <c r="N23" s="33">
        <v>60</v>
      </c>
      <c r="O23" s="22">
        <v>1</v>
      </c>
      <c r="P23" s="16">
        <v>1.5</v>
      </c>
      <c r="Q23" s="16">
        <v>2</v>
      </c>
      <c r="R23" s="20">
        <f t="shared" si="0"/>
        <v>0.05</v>
      </c>
      <c r="S23" s="20">
        <v>1</v>
      </c>
      <c r="T23" s="15" t="s">
        <v>486</v>
      </c>
      <c r="U23" s="22"/>
      <c r="V23" s="41"/>
    </row>
    <row r="24" spans="1:22" ht="14.25" customHeight="1" x14ac:dyDescent="0.25">
      <c r="A24" s="34" t="s">
        <v>31</v>
      </c>
      <c r="B24" s="14" t="s">
        <v>15</v>
      </c>
      <c r="C24" s="33">
        <v>158.75</v>
      </c>
      <c r="D24" s="17">
        <v>0.85</v>
      </c>
      <c r="E24" s="15"/>
      <c r="F24" s="21">
        <f>+F22+F27+F28+F29+F34+F35</f>
        <v>47.8</v>
      </c>
      <c r="G24" s="21">
        <f t="shared" ref="G24:H24" si="8">+G22+G27+G28+G29+G34+G35</f>
        <v>36</v>
      </c>
      <c r="H24" s="21">
        <f t="shared" si="8"/>
        <v>21</v>
      </c>
      <c r="I24" s="15"/>
      <c r="J24" s="15"/>
      <c r="K24" s="15"/>
      <c r="L24" s="15">
        <v>1.6</v>
      </c>
      <c r="M24" s="22">
        <v>2.5</v>
      </c>
      <c r="N24" s="33">
        <v>150</v>
      </c>
      <c r="O24" s="22">
        <v>0.7</v>
      </c>
      <c r="P24" s="16">
        <v>1.1000000000000001</v>
      </c>
      <c r="Q24" s="16">
        <v>1.3</v>
      </c>
      <c r="R24" s="20">
        <f t="shared" si="0"/>
        <v>0.6690666666666667</v>
      </c>
      <c r="S24" s="20">
        <v>1</v>
      </c>
      <c r="T24" s="15" t="s">
        <v>486</v>
      </c>
      <c r="U24" s="22">
        <f>+(F24*0.25+G24*0.25+H24*3)*0.4</f>
        <v>33.580000000000005</v>
      </c>
      <c r="V24" s="15" t="s">
        <v>486</v>
      </c>
    </row>
    <row r="25" spans="1:22" ht="14.25" customHeight="1" x14ac:dyDescent="0.25">
      <c r="A25" s="34" t="s">
        <v>38</v>
      </c>
      <c r="B25" s="14" t="s">
        <v>391</v>
      </c>
      <c r="C25" s="33">
        <v>57.28</v>
      </c>
      <c r="D25" s="22">
        <v>0.9</v>
      </c>
      <c r="E25" s="15">
        <v>2</v>
      </c>
      <c r="F25" s="21">
        <f>+ROUNDUP(E25*1.3,0)-G25-H25</f>
        <v>1</v>
      </c>
      <c r="G25" s="16">
        <v>1</v>
      </c>
      <c r="H25" s="16">
        <v>1</v>
      </c>
      <c r="I25" s="15">
        <v>11</v>
      </c>
      <c r="J25" s="15">
        <v>30</v>
      </c>
      <c r="K25" s="15" t="s">
        <v>486</v>
      </c>
      <c r="L25" s="15">
        <v>1</v>
      </c>
      <c r="M25" s="22">
        <v>1.5</v>
      </c>
      <c r="N25" s="33">
        <v>130</v>
      </c>
      <c r="O25" s="22">
        <v>1</v>
      </c>
      <c r="P25" s="16">
        <v>1.5</v>
      </c>
      <c r="Q25" s="16">
        <v>2</v>
      </c>
      <c r="R25" s="20">
        <f t="shared" si="0"/>
        <v>3.4615384615384617E-2</v>
      </c>
      <c r="S25" s="20">
        <v>1</v>
      </c>
      <c r="T25" s="15" t="s">
        <v>486</v>
      </c>
      <c r="U25" s="22"/>
      <c r="V25" s="41"/>
    </row>
    <row r="26" spans="1:22" ht="14.25" customHeight="1" x14ac:dyDescent="0.25">
      <c r="A26" s="34" t="s">
        <v>39</v>
      </c>
      <c r="B26" s="14" t="s">
        <v>391</v>
      </c>
      <c r="C26" s="33">
        <v>504.3900000000001</v>
      </c>
      <c r="D26" s="22">
        <v>0.9</v>
      </c>
      <c r="E26" s="15">
        <v>14</v>
      </c>
      <c r="F26" s="21">
        <f>+ROUNDUP(E26*1.3,0)-G26-H26</f>
        <v>7</v>
      </c>
      <c r="G26" s="16">
        <v>6</v>
      </c>
      <c r="H26" s="16">
        <v>6</v>
      </c>
      <c r="I26" s="15">
        <v>15</v>
      </c>
      <c r="J26" s="15">
        <v>45</v>
      </c>
      <c r="K26" s="15" t="s">
        <v>486</v>
      </c>
      <c r="L26" s="15" t="s">
        <v>501</v>
      </c>
      <c r="M26" s="43" t="s">
        <v>502</v>
      </c>
      <c r="N26" s="33">
        <v>130</v>
      </c>
      <c r="O26" s="22">
        <v>1</v>
      </c>
      <c r="P26" s="16">
        <v>1.5</v>
      </c>
      <c r="Q26" s="16">
        <v>2</v>
      </c>
      <c r="R26" s="20">
        <f t="shared" si="0"/>
        <v>0.2153846153846154</v>
      </c>
      <c r="S26" s="20">
        <v>1</v>
      </c>
      <c r="T26" s="15" t="s">
        <v>486</v>
      </c>
      <c r="U26" s="22"/>
      <c r="V26" s="41"/>
    </row>
    <row r="27" spans="1:22" ht="14.25" customHeight="1" x14ac:dyDescent="0.25">
      <c r="A27" s="34" t="s">
        <v>40</v>
      </c>
      <c r="B27" s="14" t="s">
        <v>47</v>
      </c>
      <c r="C27" s="58" t="s">
        <v>548</v>
      </c>
      <c r="D27" s="17">
        <v>0.6333333333333333</v>
      </c>
      <c r="E27" s="15"/>
      <c r="F27" s="21">
        <f>+ROUNDUP(56/2,0)-G27-H27</f>
        <v>14</v>
      </c>
      <c r="G27" s="16">
        <v>14</v>
      </c>
      <c r="H27" s="16"/>
      <c r="I27" s="15">
        <v>9</v>
      </c>
      <c r="J27" s="15">
        <v>60</v>
      </c>
      <c r="K27" s="15" t="s">
        <v>486</v>
      </c>
      <c r="L27" s="15">
        <v>0.8</v>
      </c>
      <c r="M27" s="22">
        <f t="shared" si="5"/>
        <v>1.4545454545454546</v>
      </c>
      <c r="N27" s="33">
        <v>160</v>
      </c>
      <c r="O27" s="22">
        <v>1</v>
      </c>
      <c r="P27" s="16">
        <v>1.5</v>
      </c>
      <c r="Q27" s="16">
        <v>2</v>
      </c>
      <c r="R27" s="20">
        <f t="shared" si="0"/>
        <v>0.21875</v>
      </c>
      <c r="S27" s="20">
        <v>1</v>
      </c>
      <c r="T27" s="15" t="s">
        <v>486</v>
      </c>
      <c r="U27" s="22"/>
      <c r="V27" s="41"/>
    </row>
    <row r="28" spans="1:22" ht="14.25" customHeight="1" x14ac:dyDescent="0.25">
      <c r="A28" s="34" t="s">
        <v>41</v>
      </c>
      <c r="B28" s="14" t="s">
        <v>34</v>
      </c>
      <c r="C28" s="33">
        <v>25.82</v>
      </c>
      <c r="D28" s="17">
        <v>0.9</v>
      </c>
      <c r="E28" s="15"/>
      <c r="F28" s="21">
        <v>3</v>
      </c>
      <c r="G28" s="16"/>
      <c r="H28" s="16"/>
      <c r="I28" s="15">
        <v>12</v>
      </c>
      <c r="J28" s="15">
        <v>45</v>
      </c>
      <c r="K28" s="15" t="s">
        <v>486</v>
      </c>
      <c r="L28" s="15">
        <v>0.8</v>
      </c>
      <c r="M28" s="22">
        <f t="shared" si="5"/>
        <v>1.4545454545454546</v>
      </c>
      <c r="N28" s="33">
        <v>70</v>
      </c>
      <c r="O28" s="22">
        <v>1</v>
      </c>
      <c r="P28" s="16">
        <v>1.5</v>
      </c>
      <c r="Q28" s="16">
        <v>2</v>
      </c>
      <c r="R28" s="20">
        <f t="shared" si="0"/>
        <v>4.2857142857142858E-2</v>
      </c>
      <c r="S28" s="20">
        <v>1</v>
      </c>
      <c r="T28" s="15" t="s">
        <v>486</v>
      </c>
      <c r="U28" s="22"/>
      <c r="V28" s="41"/>
    </row>
    <row r="29" spans="1:22" ht="14.25" customHeight="1" x14ac:dyDescent="0.25">
      <c r="A29" s="34" t="s">
        <v>42</v>
      </c>
      <c r="B29" s="14" t="s">
        <v>48</v>
      </c>
      <c r="C29" s="33">
        <v>29.75</v>
      </c>
      <c r="D29" s="17">
        <v>0.9</v>
      </c>
      <c r="E29" s="15"/>
      <c r="F29" s="21">
        <f>+ROUNDUP(C29/1.4,0)-G29-H29</f>
        <v>8</v>
      </c>
      <c r="G29" s="16">
        <v>7</v>
      </c>
      <c r="H29" s="16">
        <v>7</v>
      </c>
      <c r="I29" s="15">
        <v>8</v>
      </c>
      <c r="J29" s="15">
        <v>45</v>
      </c>
      <c r="K29" s="15" t="s">
        <v>486</v>
      </c>
      <c r="L29" s="15">
        <v>1.25</v>
      </c>
      <c r="M29" s="22">
        <v>2</v>
      </c>
      <c r="N29" s="33">
        <v>70</v>
      </c>
      <c r="O29" s="22">
        <v>1</v>
      </c>
      <c r="P29" s="16">
        <v>1.5</v>
      </c>
      <c r="Q29" s="16">
        <v>2</v>
      </c>
      <c r="R29" s="20">
        <f t="shared" si="0"/>
        <v>0.4642857142857143</v>
      </c>
      <c r="S29" s="20">
        <v>1</v>
      </c>
      <c r="T29" s="15" t="s">
        <v>486</v>
      </c>
      <c r="U29" s="22"/>
      <c r="V29" s="41"/>
    </row>
    <row r="30" spans="1:22" ht="14.25" customHeight="1" x14ac:dyDescent="0.25">
      <c r="A30" s="34" t="s">
        <v>43</v>
      </c>
      <c r="B30" s="14" t="s">
        <v>391</v>
      </c>
      <c r="C30" s="33">
        <v>203</v>
      </c>
      <c r="D30" s="22">
        <v>0.9</v>
      </c>
      <c r="E30" s="15">
        <v>7</v>
      </c>
      <c r="F30" s="21">
        <f>+ROUNDUP(E30*1.3,0)-G30-H30</f>
        <v>4</v>
      </c>
      <c r="G30" s="16">
        <v>3</v>
      </c>
      <c r="H30" s="16">
        <v>3</v>
      </c>
      <c r="I30" s="15">
        <v>15</v>
      </c>
      <c r="J30" s="15">
        <v>45</v>
      </c>
      <c r="K30" s="15" t="s">
        <v>486</v>
      </c>
      <c r="L30" s="15">
        <v>1.55</v>
      </c>
      <c r="M30" s="22">
        <v>2.5</v>
      </c>
      <c r="N30" s="33">
        <v>130</v>
      </c>
      <c r="O30" s="22">
        <v>1</v>
      </c>
      <c r="P30" s="16">
        <v>1.5</v>
      </c>
      <c r="Q30" s="16">
        <v>2</v>
      </c>
      <c r="R30" s="20">
        <f t="shared" si="0"/>
        <v>0.11153846153846154</v>
      </c>
      <c r="S30" s="20">
        <v>1</v>
      </c>
      <c r="T30" s="15" t="s">
        <v>486</v>
      </c>
      <c r="U30" s="22"/>
      <c r="V30" s="41"/>
    </row>
    <row r="31" spans="1:22" ht="14.25" customHeight="1" x14ac:dyDescent="0.25">
      <c r="A31" s="34" t="s">
        <v>44</v>
      </c>
      <c r="B31" s="14" t="s">
        <v>15</v>
      </c>
      <c r="C31" s="33">
        <v>50.95</v>
      </c>
      <c r="D31" s="17">
        <v>0.85</v>
      </c>
      <c r="E31" s="15"/>
      <c r="F31" s="21">
        <f>+F30+F32+F33+F36</f>
        <v>22</v>
      </c>
      <c r="G31" s="21">
        <f t="shared" ref="G31:H31" si="9">+G30+G32+G33+G36</f>
        <v>16</v>
      </c>
      <c r="H31" s="21">
        <f t="shared" si="9"/>
        <v>16</v>
      </c>
      <c r="I31" s="15"/>
      <c r="J31" s="15"/>
      <c r="K31" s="15"/>
      <c r="L31" s="15">
        <v>1.8</v>
      </c>
      <c r="M31" s="22">
        <v>3</v>
      </c>
      <c r="N31" s="33">
        <v>150</v>
      </c>
      <c r="O31" s="22">
        <v>0.7</v>
      </c>
      <c r="P31" s="16">
        <v>1.1000000000000001</v>
      </c>
      <c r="Q31" s="16">
        <v>1.3</v>
      </c>
      <c r="R31" s="20">
        <f t="shared" si="0"/>
        <v>0.35866666666666663</v>
      </c>
      <c r="S31" s="20">
        <v>1</v>
      </c>
      <c r="T31" s="15" t="s">
        <v>486</v>
      </c>
      <c r="U31" s="22">
        <f>+(F31*0.25+G31*0.25+H31*3)*0.4</f>
        <v>23</v>
      </c>
      <c r="V31" s="15" t="s">
        <v>486</v>
      </c>
    </row>
    <row r="32" spans="1:22" ht="14.25" customHeight="1" x14ac:dyDescent="0.25">
      <c r="A32" s="34" t="s">
        <v>45</v>
      </c>
      <c r="B32" s="14" t="s">
        <v>16</v>
      </c>
      <c r="C32" s="33">
        <v>10.6</v>
      </c>
      <c r="D32" s="17">
        <v>0.9</v>
      </c>
      <c r="E32" s="15"/>
      <c r="F32" s="21">
        <v>3</v>
      </c>
      <c r="G32" s="16"/>
      <c r="H32" s="16"/>
      <c r="I32" s="15">
        <v>5</v>
      </c>
      <c r="J32" s="15">
        <v>45</v>
      </c>
      <c r="K32" s="15" t="s">
        <v>486</v>
      </c>
      <c r="L32" s="15">
        <v>0.8</v>
      </c>
      <c r="M32" s="22">
        <f t="shared" si="5"/>
        <v>1.4545454545454546</v>
      </c>
      <c r="N32" s="33">
        <v>70</v>
      </c>
      <c r="O32" s="22">
        <v>1</v>
      </c>
      <c r="P32" s="16">
        <v>1.5</v>
      </c>
      <c r="Q32" s="16">
        <v>2</v>
      </c>
      <c r="R32" s="20">
        <f t="shared" si="0"/>
        <v>4.2857142857142858E-2</v>
      </c>
      <c r="S32" s="20">
        <v>1</v>
      </c>
      <c r="T32" s="15" t="s">
        <v>486</v>
      </c>
      <c r="U32" s="22"/>
      <c r="V32" s="41"/>
    </row>
    <row r="33" spans="1:22" ht="14.25" customHeight="1" x14ac:dyDescent="0.25">
      <c r="A33" s="34" t="s">
        <v>46</v>
      </c>
      <c r="B33" s="14" t="s">
        <v>391</v>
      </c>
      <c r="C33" s="33">
        <v>372.83</v>
      </c>
      <c r="D33" s="22">
        <v>0.9</v>
      </c>
      <c r="E33" s="15">
        <v>15</v>
      </c>
      <c r="F33" s="21">
        <f>+ROUNDUP(E33*1.3,0)-G33-H33</f>
        <v>8</v>
      </c>
      <c r="G33" s="16">
        <v>6</v>
      </c>
      <c r="H33" s="16">
        <v>6</v>
      </c>
      <c r="I33" s="15">
        <v>22</v>
      </c>
      <c r="J33" s="15">
        <v>45</v>
      </c>
      <c r="K33" s="15" t="s">
        <v>486</v>
      </c>
      <c r="L33" s="15" t="s">
        <v>503</v>
      </c>
      <c r="M33" s="22">
        <v>2.5</v>
      </c>
      <c r="N33" s="33">
        <v>130</v>
      </c>
      <c r="O33" s="22">
        <v>1</v>
      </c>
      <c r="P33" s="16">
        <v>1.5</v>
      </c>
      <c r="Q33" s="16">
        <v>2</v>
      </c>
      <c r="R33" s="20">
        <f t="shared" si="0"/>
        <v>0.22307692307692309</v>
      </c>
      <c r="S33" s="20">
        <v>1</v>
      </c>
      <c r="T33" s="15" t="s">
        <v>486</v>
      </c>
      <c r="U33" s="22"/>
      <c r="V33" s="41"/>
    </row>
    <row r="34" spans="1:22" ht="14.25" customHeight="1" x14ac:dyDescent="0.25">
      <c r="A34" s="34" t="s">
        <v>49</v>
      </c>
      <c r="B34" s="14" t="s">
        <v>391</v>
      </c>
      <c r="C34" s="33">
        <v>93</v>
      </c>
      <c r="D34" s="22">
        <v>0.9</v>
      </c>
      <c r="E34" s="15">
        <v>2</v>
      </c>
      <c r="F34" s="21">
        <f>+ROUNDUP(E34*1.3,0)-G34-H34</f>
        <v>1</v>
      </c>
      <c r="G34" s="16">
        <v>1</v>
      </c>
      <c r="H34" s="16">
        <v>1</v>
      </c>
      <c r="I34" s="15">
        <v>10</v>
      </c>
      <c r="J34" s="15">
        <v>30</v>
      </c>
      <c r="K34" s="15" t="s">
        <v>486</v>
      </c>
      <c r="L34" s="15">
        <v>1</v>
      </c>
      <c r="M34" s="22">
        <v>1.5</v>
      </c>
      <c r="N34" s="33">
        <v>130</v>
      </c>
      <c r="O34" s="22">
        <v>1</v>
      </c>
      <c r="P34" s="16">
        <v>1.5</v>
      </c>
      <c r="Q34" s="16">
        <v>2</v>
      </c>
      <c r="R34" s="20">
        <f t="shared" si="0"/>
        <v>3.4615384615384617E-2</v>
      </c>
      <c r="S34" s="20">
        <v>1</v>
      </c>
      <c r="T34" s="15" t="s">
        <v>486</v>
      </c>
      <c r="U34" s="22"/>
      <c r="V34" s="41"/>
    </row>
    <row r="35" spans="1:22" ht="14.25" customHeight="1" x14ac:dyDescent="0.25">
      <c r="A35" s="34" t="s">
        <v>50</v>
      </c>
      <c r="B35" s="14" t="s">
        <v>385</v>
      </c>
      <c r="C35" s="33">
        <v>57.13</v>
      </c>
      <c r="D35" s="17">
        <v>0.9</v>
      </c>
      <c r="E35" s="15"/>
      <c r="F35" s="21">
        <f>+ROUNDUP(C35/1.4,0)-G35-H35</f>
        <v>14</v>
      </c>
      <c r="G35" s="16">
        <v>14</v>
      </c>
      <c r="H35" s="16">
        <v>13</v>
      </c>
      <c r="I35" s="15">
        <v>10</v>
      </c>
      <c r="J35" s="15">
        <v>45</v>
      </c>
      <c r="K35" s="15" t="s">
        <v>486</v>
      </c>
      <c r="L35" s="15">
        <v>1.25</v>
      </c>
      <c r="M35" s="22">
        <v>2</v>
      </c>
      <c r="N35" s="33">
        <v>70</v>
      </c>
      <c r="O35" s="22">
        <v>1</v>
      </c>
      <c r="P35" s="16">
        <v>1.5</v>
      </c>
      <c r="Q35" s="16">
        <v>2</v>
      </c>
      <c r="R35" s="20">
        <f t="shared" si="0"/>
        <v>0.87142857142857144</v>
      </c>
      <c r="S35" s="20">
        <v>1</v>
      </c>
      <c r="T35" s="15" t="s">
        <v>486</v>
      </c>
      <c r="U35" s="22"/>
      <c r="V35" s="41"/>
    </row>
    <row r="36" spans="1:22" ht="14.25" customHeight="1" x14ac:dyDescent="0.25">
      <c r="A36" s="34" t="s">
        <v>51</v>
      </c>
      <c r="B36" s="14" t="s">
        <v>391</v>
      </c>
      <c r="C36" s="33">
        <v>416</v>
      </c>
      <c r="D36" s="22">
        <v>0.9</v>
      </c>
      <c r="E36" s="15">
        <v>16</v>
      </c>
      <c r="F36" s="21">
        <f>+ROUNDUP(E36*1.3,0)-G36-H36</f>
        <v>7</v>
      </c>
      <c r="G36" s="16">
        <v>7</v>
      </c>
      <c r="H36" s="16">
        <v>7</v>
      </c>
      <c r="I36" s="15">
        <v>15</v>
      </c>
      <c r="J36" s="15">
        <v>45</v>
      </c>
      <c r="K36" s="15" t="s">
        <v>486</v>
      </c>
      <c r="L36" s="15" t="s">
        <v>504</v>
      </c>
      <c r="M36" s="17" t="s">
        <v>497</v>
      </c>
      <c r="N36" s="33">
        <v>130</v>
      </c>
      <c r="O36" s="22">
        <v>1</v>
      </c>
      <c r="P36" s="16">
        <v>1.5</v>
      </c>
      <c r="Q36" s="16">
        <v>2</v>
      </c>
      <c r="R36" s="20">
        <f t="shared" si="0"/>
        <v>0.24230769230769231</v>
      </c>
      <c r="S36" s="20">
        <v>1</v>
      </c>
      <c r="T36" s="15" t="s">
        <v>486</v>
      </c>
      <c r="U36" s="22"/>
      <c r="V36" s="41"/>
    </row>
    <row r="37" spans="1:22" ht="14.25" customHeight="1" x14ac:dyDescent="0.25">
      <c r="A37" s="34" t="s">
        <v>52</v>
      </c>
      <c r="B37" s="14" t="s">
        <v>391</v>
      </c>
      <c r="C37" s="33">
        <v>174.51000000000002</v>
      </c>
      <c r="D37" s="22">
        <v>0.9</v>
      </c>
      <c r="E37" s="15">
        <v>9</v>
      </c>
      <c r="F37" s="21">
        <f>+ROUNDUP(E37*1.3,0)-G37-H37</f>
        <v>4</v>
      </c>
      <c r="G37" s="16">
        <v>4</v>
      </c>
      <c r="H37" s="16">
        <v>4</v>
      </c>
      <c r="I37" s="15">
        <v>12</v>
      </c>
      <c r="J37" s="15">
        <v>45</v>
      </c>
      <c r="K37" s="15" t="s">
        <v>486</v>
      </c>
      <c r="L37" s="15" t="s">
        <v>505</v>
      </c>
      <c r="M37" s="17" t="s">
        <v>497</v>
      </c>
      <c r="N37" s="33">
        <v>130</v>
      </c>
      <c r="O37" s="22">
        <v>1</v>
      </c>
      <c r="P37" s="16">
        <v>1.5</v>
      </c>
      <c r="Q37" s="16">
        <v>2</v>
      </c>
      <c r="R37" s="20">
        <f t="shared" si="0"/>
        <v>0.13846153846153847</v>
      </c>
      <c r="S37" s="20">
        <v>1</v>
      </c>
      <c r="T37" s="15" t="s">
        <v>486</v>
      </c>
      <c r="U37" s="22"/>
      <c r="V37" s="41"/>
    </row>
    <row r="38" spans="1:22" ht="14.25" customHeight="1" x14ac:dyDescent="0.25">
      <c r="A38" s="34" t="s">
        <v>460</v>
      </c>
      <c r="B38" s="14" t="s">
        <v>462</v>
      </c>
      <c r="C38" s="33">
        <v>30</v>
      </c>
      <c r="D38" s="22">
        <v>0.9</v>
      </c>
      <c r="E38" s="15"/>
      <c r="F38" s="21">
        <v>3</v>
      </c>
      <c r="G38" s="16"/>
      <c r="H38" s="16"/>
      <c r="I38" s="15">
        <v>2</v>
      </c>
      <c r="J38" s="15">
        <v>45</v>
      </c>
      <c r="K38" s="15" t="s">
        <v>486</v>
      </c>
      <c r="L38" s="15">
        <v>0.6</v>
      </c>
      <c r="M38" s="17">
        <v>1</v>
      </c>
      <c r="N38" s="33">
        <v>55</v>
      </c>
      <c r="O38" s="22">
        <v>1</v>
      </c>
      <c r="P38" s="16">
        <v>1.5</v>
      </c>
      <c r="Q38" s="16">
        <v>2</v>
      </c>
      <c r="R38" s="20">
        <f t="shared" ref="R38:R39" si="10">(F38*O38+G38*P38+H38*Q38)/N38</f>
        <v>5.4545454545454543E-2</v>
      </c>
      <c r="S38" s="20">
        <v>1</v>
      </c>
      <c r="T38" s="15" t="s">
        <v>486</v>
      </c>
      <c r="U38" s="22"/>
      <c r="V38" s="41"/>
    </row>
    <row r="39" spans="1:22" ht="14.25" customHeight="1" x14ac:dyDescent="0.25">
      <c r="A39" s="34" t="s">
        <v>461</v>
      </c>
      <c r="B39" s="14" t="s">
        <v>463</v>
      </c>
      <c r="C39" s="33">
        <v>35</v>
      </c>
      <c r="D39" s="22">
        <v>0.9</v>
      </c>
      <c r="E39" s="15"/>
      <c r="F39" s="21">
        <v>3</v>
      </c>
      <c r="G39" s="16"/>
      <c r="H39" s="16"/>
      <c r="I39" s="15">
        <v>2</v>
      </c>
      <c r="J39" s="15">
        <v>45</v>
      </c>
      <c r="K39" s="15" t="s">
        <v>486</v>
      </c>
      <c r="L39" s="15">
        <v>0.6</v>
      </c>
      <c r="M39" s="17">
        <v>1</v>
      </c>
      <c r="N39" s="33">
        <v>55</v>
      </c>
      <c r="O39" s="22">
        <v>1</v>
      </c>
      <c r="P39" s="16">
        <v>1.5</v>
      </c>
      <c r="Q39" s="16">
        <v>2</v>
      </c>
      <c r="R39" s="20">
        <f t="shared" si="10"/>
        <v>5.4545454545454543E-2</v>
      </c>
      <c r="S39" s="20">
        <v>1</v>
      </c>
      <c r="T39" s="15" t="s">
        <v>486</v>
      </c>
      <c r="U39" s="22"/>
      <c r="V39" s="41"/>
    </row>
    <row r="40" spans="1:22" ht="14.25" customHeight="1" x14ac:dyDescent="0.25">
      <c r="A40" s="34" t="s">
        <v>55</v>
      </c>
      <c r="B40" s="14" t="s">
        <v>59</v>
      </c>
      <c r="C40" s="33">
        <v>31.05</v>
      </c>
      <c r="D40" s="17">
        <v>1.046103896103896</v>
      </c>
      <c r="E40" s="15"/>
      <c r="F40" s="21">
        <v>3</v>
      </c>
      <c r="G40" s="16"/>
      <c r="H40" s="16"/>
      <c r="I40" s="15">
        <v>28</v>
      </c>
      <c r="J40" s="15">
        <v>40</v>
      </c>
      <c r="K40" s="15" t="s">
        <v>486</v>
      </c>
      <c r="L40" s="15">
        <v>1</v>
      </c>
      <c r="M40" s="22">
        <v>1.5</v>
      </c>
      <c r="N40" s="33">
        <v>35</v>
      </c>
      <c r="O40" s="22">
        <v>1</v>
      </c>
      <c r="P40" s="16">
        <v>1.5</v>
      </c>
      <c r="Q40" s="16">
        <v>2</v>
      </c>
      <c r="R40" s="20">
        <f t="shared" si="0"/>
        <v>8.5714285714285715E-2</v>
      </c>
      <c r="S40" s="20">
        <v>1</v>
      </c>
      <c r="T40" s="15" t="s">
        <v>486</v>
      </c>
      <c r="U40" s="22"/>
      <c r="V40" s="41"/>
    </row>
    <row r="41" spans="1:22" ht="14.25" customHeight="1" x14ac:dyDescent="0.25">
      <c r="A41" s="34" t="s">
        <v>56</v>
      </c>
      <c r="B41" s="14" t="s">
        <v>59</v>
      </c>
      <c r="C41" s="33">
        <v>28.58</v>
      </c>
      <c r="D41" s="17">
        <v>1.046103896103896</v>
      </c>
      <c r="E41" s="15"/>
      <c r="F41" s="21">
        <v>3</v>
      </c>
      <c r="G41" s="16"/>
      <c r="H41" s="16"/>
      <c r="I41" s="15">
        <v>33</v>
      </c>
      <c r="J41" s="15">
        <v>40</v>
      </c>
      <c r="K41" s="15" t="s">
        <v>486</v>
      </c>
      <c r="L41" s="15">
        <v>1</v>
      </c>
      <c r="M41" s="22">
        <v>1.5</v>
      </c>
      <c r="N41" s="33">
        <v>35</v>
      </c>
      <c r="O41" s="22">
        <v>1</v>
      </c>
      <c r="P41" s="16">
        <v>1.5</v>
      </c>
      <c r="Q41" s="16">
        <v>2</v>
      </c>
      <c r="R41" s="20">
        <f t="shared" si="0"/>
        <v>8.5714285714285715E-2</v>
      </c>
      <c r="S41" s="20">
        <v>1</v>
      </c>
      <c r="T41" s="15" t="s">
        <v>486</v>
      </c>
      <c r="U41" s="22"/>
      <c r="V41" s="41"/>
    </row>
    <row r="42" spans="1:22" ht="14.25" customHeight="1" x14ac:dyDescent="0.25">
      <c r="A42" s="34" t="s">
        <v>57</v>
      </c>
      <c r="B42" s="14" t="s">
        <v>60</v>
      </c>
      <c r="C42" s="33">
        <v>53.3</v>
      </c>
      <c r="D42" s="17">
        <v>0.9</v>
      </c>
      <c r="E42" s="15"/>
      <c r="F42" s="21">
        <v>3</v>
      </c>
      <c r="G42" s="16"/>
      <c r="H42" s="16"/>
      <c r="I42" s="15">
        <v>32</v>
      </c>
      <c r="J42" s="15">
        <v>45</v>
      </c>
      <c r="K42" s="15" t="s">
        <v>486</v>
      </c>
      <c r="L42" s="15">
        <v>1</v>
      </c>
      <c r="M42" s="22">
        <v>1.5</v>
      </c>
      <c r="N42" s="33">
        <v>45</v>
      </c>
      <c r="O42" s="22">
        <v>1</v>
      </c>
      <c r="P42" s="16">
        <v>1.5</v>
      </c>
      <c r="Q42" s="16">
        <v>2</v>
      </c>
      <c r="R42" s="20">
        <f t="shared" si="0"/>
        <v>6.6666666666666666E-2</v>
      </c>
      <c r="S42" s="20">
        <v>1</v>
      </c>
      <c r="T42" s="15" t="s">
        <v>486</v>
      </c>
      <c r="U42" s="22"/>
      <c r="V42" s="41"/>
    </row>
    <row r="43" spans="1:22" ht="14.25" customHeight="1" x14ac:dyDescent="0.25">
      <c r="A43" s="34" t="s">
        <v>58</v>
      </c>
      <c r="B43" s="14" t="s">
        <v>61</v>
      </c>
      <c r="C43" s="33">
        <v>49.27</v>
      </c>
      <c r="D43" s="17">
        <v>0.98571428571428577</v>
      </c>
      <c r="E43" s="15"/>
      <c r="F43" s="21">
        <v>3</v>
      </c>
      <c r="G43" s="16"/>
      <c r="H43" s="16"/>
      <c r="I43" s="15">
        <v>22</v>
      </c>
      <c r="J43" s="15">
        <v>25</v>
      </c>
      <c r="K43" s="15" t="s">
        <v>486</v>
      </c>
      <c r="L43" s="15">
        <v>1</v>
      </c>
      <c r="M43" s="22">
        <v>1.5</v>
      </c>
      <c r="N43" s="33">
        <v>35</v>
      </c>
      <c r="O43" s="22">
        <v>1</v>
      </c>
      <c r="P43" s="16">
        <v>1.5</v>
      </c>
      <c r="Q43" s="16">
        <v>2</v>
      </c>
      <c r="R43" s="20">
        <f t="shared" si="0"/>
        <v>8.5714285714285715E-2</v>
      </c>
      <c r="S43" s="20">
        <v>1</v>
      </c>
      <c r="T43" s="15" t="s">
        <v>486</v>
      </c>
      <c r="U43" s="22"/>
      <c r="V43" s="41"/>
    </row>
  </sheetData>
  <printOptions gridLines="1"/>
  <pageMargins left="0.6692913385826772" right="0.55118110236220474" top="0.78740157480314965" bottom="0.78740157480314965" header="0.51181102362204722" footer="0.31496062992125984"/>
  <pageSetup paperSize="9" scale="86" fitToHeight="2" orientation="landscape" horizontalDpi="300" verticalDpi="300" r:id="rId1"/>
  <headerFooter>
    <oddHeader>&amp;L&amp;A&amp;RTABULKA 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workbookViewId="0">
      <selection activeCell="W2" sqref="W2:Z37"/>
    </sheetView>
  </sheetViews>
  <sheetFormatPr defaultRowHeight="14.25" customHeight="1" x14ac:dyDescent="0.25"/>
  <cols>
    <col min="1" max="1" width="7.28515625" style="34" customWidth="1"/>
    <col min="2" max="2" width="18" style="2" customWidth="1"/>
    <col min="3" max="3" width="6.42578125" style="3" customWidth="1"/>
    <col min="4" max="4" width="5.85546875" style="3" customWidth="1"/>
    <col min="5" max="14" width="8.7109375" style="4" hidden="1" customWidth="1"/>
    <col min="15" max="15" width="12.140625" style="10" hidden="1" customWidth="1"/>
    <col min="16" max="16" width="9.140625" style="10" hidden="1" customWidth="1"/>
    <col min="17" max="17" width="5.85546875" style="3" customWidth="1"/>
    <col min="18" max="18" width="10.5703125" style="3" customWidth="1"/>
    <col min="19" max="19" width="11.140625" style="3" customWidth="1"/>
    <col min="20" max="20" width="10.28515625" style="9" customWidth="1"/>
    <col min="21" max="21" width="11.28515625" style="3" customWidth="1"/>
  </cols>
  <sheetData>
    <row r="1" spans="1:22" s="30" customFormat="1" ht="35.25" customHeight="1" x14ac:dyDescent="0.25">
      <c r="A1" s="23" t="s">
        <v>53</v>
      </c>
      <c r="B1" s="23" t="s">
        <v>54</v>
      </c>
      <c r="C1" s="23" t="s">
        <v>415</v>
      </c>
      <c r="D1" s="29" t="s">
        <v>389</v>
      </c>
      <c r="E1" s="23" t="s">
        <v>468</v>
      </c>
      <c r="F1" s="23" t="s">
        <v>515</v>
      </c>
      <c r="G1" s="23" t="s">
        <v>516</v>
      </c>
      <c r="H1" s="23" t="s">
        <v>471</v>
      </c>
      <c r="I1" s="23" t="s">
        <v>472</v>
      </c>
      <c r="J1" s="23" t="s">
        <v>473</v>
      </c>
      <c r="K1" s="23" t="s">
        <v>474</v>
      </c>
      <c r="L1" s="23" t="s">
        <v>475</v>
      </c>
      <c r="M1" s="23" t="s">
        <v>479</v>
      </c>
      <c r="N1" s="23" t="s">
        <v>480</v>
      </c>
      <c r="O1" s="29" t="s">
        <v>517</v>
      </c>
      <c r="P1" s="29" t="s">
        <v>518</v>
      </c>
      <c r="Q1" s="40" t="s">
        <v>533</v>
      </c>
      <c r="R1" s="23" t="s">
        <v>534</v>
      </c>
      <c r="S1" s="23" t="s">
        <v>526</v>
      </c>
      <c r="T1" s="23" t="s">
        <v>527</v>
      </c>
      <c r="U1" s="23" t="s">
        <v>519</v>
      </c>
    </row>
    <row r="2" spans="1:22" ht="14.25" customHeight="1" x14ac:dyDescent="0.25">
      <c r="A2" s="35" t="s">
        <v>0</v>
      </c>
      <c r="B2" s="14" t="s">
        <v>10</v>
      </c>
      <c r="C2" s="15" t="s">
        <v>421</v>
      </c>
      <c r="D2" s="21">
        <v>22.589820716420036</v>
      </c>
      <c r="E2" s="15">
        <v>0</v>
      </c>
      <c r="F2" s="15">
        <v>0</v>
      </c>
      <c r="G2" s="15">
        <v>0</v>
      </c>
      <c r="H2" s="15">
        <v>0</v>
      </c>
      <c r="I2" s="15">
        <v>0</v>
      </c>
      <c r="J2" s="15">
        <v>0</v>
      </c>
      <c r="K2" s="15">
        <v>0</v>
      </c>
      <c r="L2" s="15">
        <v>0</v>
      </c>
      <c r="M2" s="15">
        <v>0</v>
      </c>
      <c r="N2" s="15">
        <v>0</v>
      </c>
      <c r="O2" s="21">
        <f>+(E2*Otvory!D$1+F2*Otvory!D$2+G2*Otvory!D$3+H2*Otvory!D$4+I2*Otvory!D$5+J2*Otvory!D$6+K2*Otvory!D$7+L2*Otvory!D$8+M2*Otvory!D$9+N2*Otvory!D$10)</f>
        <v>0</v>
      </c>
      <c r="P2" s="21">
        <f>14*3.2</f>
        <v>44.800000000000004</v>
      </c>
      <c r="Q2" s="37">
        <f t="shared" ref="Q2:Q37" si="0">+O2/P2</f>
        <v>0</v>
      </c>
      <c r="R2" s="38"/>
      <c r="S2" s="38">
        <v>0</v>
      </c>
      <c r="T2" s="9">
        <f>4*0.36</f>
        <v>1.44</v>
      </c>
      <c r="U2" s="3">
        <v>1.5</v>
      </c>
      <c r="V2" s="15"/>
    </row>
    <row r="3" spans="1:22" ht="14.25" customHeight="1" x14ac:dyDescent="0.25">
      <c r="A3" s="35" t="s">
        <v>1</v>
      </c>
      <c r="B3" s="14" t="s">
        <v>11</v>
      </c>
      <c r="C3" s="15" t="s">
        <v>422</v>
      </c>
      <c r="D3" s="21">
        <v>2.0169482782517894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 s="21">
        <f>+(E3*Otvory!D$1+F3*Otvory!D$2+G3*Otvory!D$3+H3*Otvory!D$4+I3*Otvory!D$5+J3*Otvory!D$6+K3*Otvory!D$7+L3*Otvory!D$8+M3*Otvory!D$9+N3*Otvory!D$10)</f>
        <v>0</v>
      </c>
      <c r="P3" s="21">
        <f>3*3.2</f>
        <v>9.6000000000000014</v>
      </c>
      <c r="Q3" s="37">
        <f t="shared" si="0"/>
        <v>0</v>
      </c>
      <c r="R3" s="38"/>
      <c r="S3" s="38">
        <v>0</v>
      </c>
      <c r="T3" s="9">
        <f>4*0.36</f>
        <v>1.44</v>
      </c>
      <c r="U3" s="3">
        <v>1.5</v>
      </c>
      <c r="V3" s="15"/>
    </row>
    <row r="4" spans="1:22" ht="14.25" customHeight="1" x14ac:dyDescent="0.25">
      <c r="A4" s="35" t="s">
        <v>2</v>
      </c>
      <c r="B4" s="14" t="s">
        <v>12</v>
      </c>
      <c r="C4" s="15" t="s">
        <v>423</v>
      </c>
      <c r="D4" s="21">
        <v>35.498289697231485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0</v>
      </c>
      <c r="O4" s="21">
        <f>+(E4*Otvory!D$1+F4*Otvory!D$2+G4*Otvory!D$3+H4*Otvory!D$4+I4*Otvory!D$5+J4*Otvory!D$6+K4*Otvory!D$7+L4*Otvory!D$8+M4*Otvory!D$9+N4*Otvory!D$10)</f>
        <v>0</v>
      </c>
      <c r="P4" s="21">
        <f>13*3.2</f>
        <v>41.6</v>
      </c>
      <c r="Q4" s="37">
        <f t="shared" si="0"/>
        <v>0</v>
      </c>
      <c r="R4" s="38"/>
      <c r="S4" s="38">
        <v>0</v>
      </c>
      <c r="T4" s="9">
        <f t="shared" ref="T4" si="1">4*0.36</f>
        <v>1.44</v>
      </c>
      <c r="U4" s="3">
        <v>1.5</v>
      </c>
      <c r="V4" s="15"/>
    </row>
    <row r="5" spans="1:22" ht="14.25" customHeight="1" x14ac:dyDescent="0.25">
      <c r="A5" s="35" t="s">
        <v>3</v>
      </c>
      <c r="B5" s="14" t="s">
        <v>13</v>
      </c>
      <c r="C5" s="15" t="s">
        <v>458</v>
      </c>
      <c r="D5" s="21">
        <v>31.802826400207991</v>
      </c>
      <c r="E5" s="15">
        <v>17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21">
        <f>+(E5*Otvory!D$1+F5*Otvory!D$2+G5*Otvory!D$3+H5*Otvory!D$4+I5*Otvory!D$5+J5*Otvory!D$6+K5*Otvory!D$7+L5*Otvory!D$8+M5*Otvory!D$9+N5*Otvory!D$10)</f>
        <v>22.950000000000003</v>
      </c>
      <c r="P5" s="21">
        <f>31*3</f>
        <v>93</v>
      </c>
      <c r="Q5" s="37">
        <f t="shared" si="0"/>
        <v>0.24677419354838712</v>
      </c>
      <c r="R5" s="38" t="s">
        <v>520</v>
      </c>
      <c r="S5" s="38">
        <v>1.9</v>
      </c>
      <c r="T5" s="9">
        <f>7*0.36</f>
        <v>2.52</v>
      </c>
      <c r="U5" s="3">
        <v>2.5</v>
      </c>
      <c r="V5" s="15"/>
    </row>
    <row r="6" spans="1:22" ht="14.25" customHeight="1" x14ac:dyDescent="0.25">
      <c r="A6" s="35" t="s">
        <v>4</v>
      </c>
      <c r="B6" s="14" t="s">
        <v>14</v>
      </c>
      <c r="C6" s="15" t="s">
        <v>425</v>
      </c>
      <c r="D6" s="21">
        <v>45.93698671704864</v>
      </c>
      <c r="E6" s="15">
        <v>3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21">
        <f>+(E6*Otvory!D$1+F6*Otvory!D$2+G6*Otvory!D$3+H6*Otvory!D$4+I6*Otvory!D$5+J6*Otvory!D$6+K6*Otvory!D$7+L6*Otvory!D$8+M6*Otvory!D$9+N6*Otvory!D$10)</f>
        <v>4.0500000000000007</v>
      </c>
      <c r="P6" s="21">
        <f>5*3</f>
        <v>15</v>
      </c>
      <c r="Q6" s="37">
        <f t="shared" si="0"/>
        <v>0.27000000000000007</v>
      </c>
      <c r="R6" s="38" t="s">
        <v>520</v>
      </c>
      <c r="S6" s="38">
        <v>2.2000000000000002</v>
      </c>
      <c r="T6" s="9">
        <f t="shared" ref="T6:T7" si="2">7*0.36</f>
        <v>2.52</v>
      </c>
      <c r="U6" s="3">
        <v>2.5</v>
      </c>
      <c r="V6" s="15"/>
    </row>
    <row r="7" spans="1:22" ht="14.25" customHeight="1" x14ac:dyDescent="0.25">
      <c r="A7" s="35" t="s">
        <v>5</v>
      </c>
      <c r="B7" s="14" t="s">
        <v>15</v>
      </c>
      <c r="C7" s="15" t="s">
        <v>433</v>
      </c>
      <c r="D7" s="21">
        <v>5.281201712358361</v>
      </c>
      <c r="E7" s="15">
        <v>2</v>
      </c>
      <c r="F7" s="15">
        <v>0</v>
      </c>
      <c r="G7" s="15">
        <v>0</v>
      </c>
      <c r="H7" s="15">
        <v>0</v>
      </c>
      <c r="I7" s="15">
        <v>1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21">
        <f>+(E7*Otvory!D$1+F7*Otvory!D$2+G7*Otvory!D$3+H7*Otvory!D$4+I7*Otvory!D$5+J7*Otvory!D$6+K7*Otvory!D$7+L7*Otvory!D$8+M7*Otvory!D$9+N7*Otvory!D$10)</f>
        <v>6.84</v>
      </c>
      <c r="P7" s="21">
        <f>3*6+3*3</f>
        <v>27</v>
      </c>
      <c r="Q7" s="37">
        <f t="shared" si="0"/>
        <v>0.25333333333333335</v>
      </c>
      <c r="R7" s="38" t="s">
        <v>521</v>
      </c>
      <c r="S7" s="38">
        <v>1.9</v>
      </c>
      <c r="T7" s="9">
        <f t="shared" si="2"/>
        <v>2.52</v>
      </c>
      <c r="U7" s="3">
        <v>2.5</v>
      </c>
      <c r="V7" s="15"/>
    </row>
    <row r="8" spans="1:22" ht="14.25" customHeight="1" x14ac:dyDescent="0.25">
      <c r="A8" s="35" t="s">
        <v>7</v>
      </c>
      <c r="B8" s="14" t="s">
        <v>17</v>
      </c>
      <c r="C8" s="15" t="s">
        <v>426</v>
      </c>
      <c r="D8" s="21">
        <v>35.695035111345724</v>
      </c>
      <c r="E8" s="15">
        <v>14</v>
      </c>
      <c r="F8" s="15">
        <v>0</v>
      </c>
      <c r="G8" s="15">
        <v>3</v>
      </c>
      <c r="H8" s="15">
        <v>1</v>
      </c>
      <c r="I8" s="15">
        <v>0</v>
      </c>
      <c r="J8" s="15">
        <v>0</v>
      </c>
      <c r="K8" s="15">
        <v>0</v>
      </c>
      <c r="L8" s="15">
        <v>1</v>
      </c>
      <c r="M8" s="15">
        <v>1</v>
      </c>
      <c r="N8" s="15">
        <v>1</v>
      </c>
      <c r="O8" s="21">
        <f>+(E8*Otvory!D$1+F8*Otvory!D$2+G8*Otvory!D$3+H8*Otvory!D$4+I8*Otvory!D$5+J8*Otvory!D$6+K8*Otvory!D$7+L8*Otvory!D$8+M8*Otvory!D$9+N8*Otvory!D$10)</f>
        <v>27.080000000000005</v>
      </c>
      <c r="P8" s="21">
        <f>34*3+10*3+10*3</f>
        <v>162</v>
      </c>
      <c r="Q8" s="37">
        <f t="shared" si="0"/>
        <v>0.16716049382716053</v>
      </c>
      <c r="R8" s="38" t="s">
        <v>520</v>
      </c>
      <c r="S8" s="38">
        <v>2</v>
      </c>
      <c r="T8" s="9">
        <f>10*0.36</f>
        <v>3.5999999999999996</v>
      </c>
      <c r="U8" s="9">
        <f t="shared" ref="U8:U10" si="3">10*0.36</f>
        <v>3.5999999999999996</v>
      </c>
      <c r="V8" s="15"/>
    </row>
    <row r="9" spans="1:22" ht="14.25" customHeight="1" x14ac:dyDescent="0.25">
      <c r="A9" s="35" t="s">
        <v>8</v>
      </c>
      <c r="B9" s="14" t="s">
        <v>18</v>
      </c>
      <c r="C9" s="15" t="s">
        <v>432</v>
      </c>
      <c r="D9" s="21">
        <v>6.4928800044226298</v>
      </c>
      <c r="E9" s="15">
        <v>7</v>
      </c>
      <c r="F9" s="15">
        <v>1</v>
      </c>
      <c r="G9" s="15">
        <v>1</v>
      </c>
      <c r="H9" s="15">
        <v>1</v>
      </c>
      <c r="I9" s="15">
        <v>1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21">
        <f>+(E9*Otvory!D$1+F9*Otvory!D$2+G9*Otvory!D$3+H9*Otvory!D$4+I9*Otvory!D$5+J9*Otvory!D$6+K9*Otvory!D$7+L9*Otvory!D$8+M9*Otvory!D$9+N9*Otvory!D$10)</f>
        <v>17.910000000000004</v>
      </c>
      <c r="P9" s="21">
        <f>10*3+10*3+18*3</f>
        <v>114</v>
      </c>
      <c r="Q9" s="37">
        <f t="shared" si="0"/>
        <v>0.15710526315789478</v>
      </c>
      <c r="R9" s="38" t="s">
        <v>521</v>
      </c>
      <c r="S9" s="38">
        <v>1.9</v>
      </c>
      <c r="T9" s="9">
        <f t="shared" ref="T9:T10" si="4">10*0.36</f>
        <v>3.5999999999999996</v>
      </c>
      <c r="U9" s="9">
        <f t="shared" si="3"/>
        <v>3.5999999999999996</v>
      </c>
      <c r="V9" s="15"/>
    </row>
    <row r="10" spans="1:22" ht="14.25" customHeight="1" x14ac:dyDescent="0.25">
      <c r="A10" s="35" t="s">
        <v>9</v>
      </c>
      <c r="B10" s="14" t="s">
        <v>407</v>
      </c>
      <c r="C10" s="15" t="s">
        <v>422</v>
      </c>
      <c r="D10" s="21">
        <v>12.34372346290095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21">
        <f>+(E10*Otvory!D$1+F10*Otvory!D$2+G10*Otvory!D$3+H10*Otvory!D$4+I10*Otvory!D$5+J10*Otvory!D$6+K10*Otvory!D$7+L10*Otvory!D$8+M10*Otvory!D$9+N10*Otvory!D$10)</f>
        <v>0</v>
      </c>
      <c r="P10" s="10">
        <f>3*3</f>
        <v>9</v>
      </c>
      <c r="Q10" s="37">
        <f t="shared" si="0"/>
        <v>0</v>
      </c>
      <c r="R10" s="38"/>
      <c r="S10" s="38">
        <v>0</v>
      </c>
      <c r="T10" s="9">
        <f t="shared" si="4"/>
        <v>3.5999999999999996</v>
      </c>
      <c r="U10" s="9">
        <f t="shared" si="3"/>
        <v>3.5999999999999996</v>
      </c>
      <c r="V10" s="15"/>
    </row>
    <row r="11" spans="1:22" ht="14.25" customHeight="1" x14ac:dyDescent="0.25">
      <c r="A11" s="35" t="s">
        <v>19</v>
      </c>
      <c r="B11" s="14" t="s">
        <v>32</v>
      </c>
      <c r="C11" s="15" t="s">
        <v>427</v>
      </c>
      <c r="D11" s="21">
        <v>24.687071603945483</v>
      </c>
      <c r="E11" s="15">
        <v>14</v>
      </c>
      <c r="F11" s="15">
        <v>6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1</v>
      </c>
      <c r="M11" s="15">
        <v>0</v>
      </c>
      <c r="N11" s="15">
        <v>0</v>
      </c>
      <c r="O11" s="21">
        <f>+(E11*Otvory!D$1+F11*Otvory!D$2+G11*Otvory!D$3+H11*Otvory!D$4+I11*Otvory!D$5+J11*Otvory!D$6+K11*Otvory!D$7+L11*Otvory!D$8+M11*Otvory!D$9+N11*Otvory!D$10)</f>
        <v>31.14</v>
      </c>
      <c r="P11" s="21">
        <f>39*3</f>
        <v>117</v>
      </c>
      <c r="Q11" s="37">
        <f t="shared" si="0"/>
        <v>0.26615384615384619</v>
      </c>
      <c r="R11" s="38" t="s">
        <v>520</v>
      </c>
      <c r="S11" s="38">
        <v>1.8</v>
      </c>
      <c r="T11" s="9">
        <f t="shared" ref="T11:T12" si="5">7*0.36</f>
        <v>2.52</v>
      </c>
      <c r="U11" s="3">
        <v>2.5</v>
      </c>
      <c r="V11" s="15"/>
    </row>
    <row r="12" spans="1:22" ht="14.25" customHeight="1" x14ac:dyDescent="0.25">
      <c r="A12" s="35" t="s">
        <v>20</v>
      </c>
      <c r="B12" s="14" t="s">
        <v>391</v>
      </c>
      <c r="C12" s="15" t="s">
        <v>428</v>
      </c>
      <c r="D12" s="21">
        <v>23</v>
      </c>
      <c r="E12" s="15">
        <f>12+5</f>
        <v>17</v>
      </c>
      <c r="F12" s="15">
        <v>5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21">
        <f>+(E12*Otvory!D$1+F12*Otvory!D$2+G12*Otvory!D$3+H12*Otvory!D$4+I12*Otvory!D$5+J12*Otvory!D$6+K12*Otvory!D$7+L12*Otvory!D$8+M12*Otvory!D$9+N12*Otvory!D$10)</f>
        <v>32.85</v>
      </c>
      <c r="P12" s="21">
        <f>52*3</f>
        <v>156</v>
      </c>
      <c r="Q12" s="37">
        <f t="shared" si="0"/>
        <v>0.21057692307692308</v>
      </c>
      <c r="R12" s="38" t="s">
        <v>522</v>
      </c>
      <c r="S12" s="38">
        <v>2.1</v>
      </c>
      <c r="T12" s="9">
        <f t="shared" si="5"/>
        <v>2.52</v>
      </c>
      <c r="U12" s="3">
        <v>2.5</v>
      </c>
      <c r="V12" s="15"/>
    </row>
    <row r="13" spans="1:22" ht="14.25" customHeight="1" x14ac:dyDescent="0.25">
      <c r="A13" s="35" t="s">
        <v>21</v>
      </c>
      <c r="B13" s="14" t="s">
        <v>33</v>
      </c>
      <c r="C13" s="15" t="s">
        <v>429</v>
      </c>
      <c r="D13" s="21">
        <v>13.50236111620789</v>
      </c>
      <c r="E13" s="15">
        <v>6</v>
      </c>
      <c r="F13" s="15">
        <v>0</v>
      </c>
      <c r="G13" s="15">
        <v>0</v>
      </c>
      <c r="H13" s="15">
        <v>0</v>
      </c>
      <c r="I13" s="15">
        <v>1</v>
      </c>
      <c r="J13" s="15">
        <v>0</v>
      </c>
      <c r="K13" s="15">
        <v>0</v>
      </c>
      <c r="L13" s="15">
        <v>2</v>
      </c>
      <c r="M13" s="15">
        <v>0</v>
      </c>
      <c r="N13" s="15">
        <v>0</v>
      </c>
      <c r="O13" s="21">
        <f>+(E13*Otvory!D$1+F13*Otvory!D$2+G13*Otvory!D$3+H13*Otvory!D$4+I13*Otvory!D$5+J13*Otvory!D$6+K13*Otvory!D$7+L13*Otvory!D$8+M13*Otvory!D$9+N13*Otvory!D$10)</f>
        <v>12.960000000000003</v>
      </c>
      <c r="P13" s="21">
        <f>30*3</f>
        <v>90</v>
      </c>
      <c r="Q13" s="37">
        <f t="shared" si="0"/>
        <v>0.14400000000000002</v>
      </c>
      <c r="R13" s="38" t="s">
        <v>520</v>
      </c>
      <c r="S13" s="38">
        <v>1.5</v>
      </c>
      <c r="T13" s="9">
        <f t="shared" ref="T13:U15" si="6">10*0.36</f>
        <v>3.5999999999999996</v>
      </c>
      <c r="U13" s="9">
        <f t="shared" si="6"/>
        <v>3.5999999999999996</v>
      </c>
      <c r="V13" s="15"/>
    </row>
    <row r="14" spans="1:22" ht="14.25" customHeight="1" x14ac:dyDescent="0.25">
      <c r="A14" s="35" t="s">
        <v>22</v>
      </c>
      <c r="B14" s="14" t="s">
        <v>34</v>
      </c>
      <c r="C14" s="15" t="s">
        <v>430</v>
      </c>
      <c r="D14" s="21">
        <v>6.2749501990055663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21">
        <f>+(E14*Otvory!D$1+F14*Otvory!D$2+G14*Otvory!D$3+H14*Otvory!D$4+I14*Otvory!D$5+J14*Otvory!D$6+K14*Otvory!D$7+L14*Otvory!D$8+M14*Otvory!D$9+N14*Otvory!D$10)</f>
        <v>0</v>
      </c>
      <c r="P14" s="21">
        <f>2.2*2.8</f>
        <v>6.16</v>
      </c>
      <c r="Q14" s="37">
        <f t="shared" si="0"/>
        <v>0</v>
      </c>
      <c r="R14" s="38"/>
      <c r="S14" s="38">
        <v>0</v>
      </c>
      <c r="T14" s="9">
        <f t="shared" si="6"/>
        <v>3.5999999999999996</v>
      </c>
      <c r="U14" s="9">
        <f t="shared" si="6"/>
        <v>3.5999999999999996</v>
      </c>
      <c r="V14" s="15"/>
    </row>
    <row r="15" spans="1:22" ht="14.25" customHeight="1" x14ac:dyDescent="0.25">
      <c r="A15" s="35" t="s">
        <v>24</v>
      </c>
      <c r="B15" s="14" t="s">
        <v>391</v>
      </c>
      <c r="C15" s="15" t="s">
        <v>459</v>
      </c>
      <c r="D15" s="21">
        <v>23</v>
      </c>
      <c r="E15" s="15">
        <v>5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21">
        <f>+(E15*Otvory!D$1+F15*Otvory!D$2+G15*Otvory!D$3+H15*Otvory!D$4+I15*Otvory!D$5+J15*Otvory!D$6+K15*Otvory!D$7+L15*Otvory!D$8+M15*Otvory!D$9+N15*Otvory!D$10)</f>
        <v>6.75</v>
      </c>
      <c r="P15" s="21">
        <f>17*3</f>
        <v>51</v>
      </c>
      <c r="Q15" s="37">
        <f t="shared" si="0"/>
        <v>0.13235294117647059</v>
      </c>
      <c r="R15" s="38" t="s">
        <v>523</v>
      </c>
      <c r="S15" s="38">
        <v>1.3</v>
      </c>
      <c r="T15" s="9">
        <f t="shared" si="6"/>
        <v>3.5999999999999996</v>
      </c>
      <c r="U15" s="9">
        <f t="shared" si="6"/>
        <v>3.5999999999999996</v>
      </c>
      <c r="V15" s="15"/>
    </row>
    <row r="16" spans="1:22" ht="14.25" customHeight="1" x14ac:dyDescent="0.25">
      <c r="A16" s="35" t="s">
        <v>25</v>
      </c>
      <c r="B16" s="14" t="s">
        <v>391</v>
      </c>
      <c r="C16" s="15" t="s">
        <v>427</v>
      </c>
      <c r="D16" s="21">
        <v>23</v>
      </c>
      <c r="E16" s="15">
        <v>10</v>
      </c>
      <c r="F16" s="15">
        <v>0</v>
      </c>
      <c r="G16" s="15">
        <v>0</v>
      </c>
      <c r="H16" s="15">
        <v>0</v>
      </c>
      <c r="I16" s="15">
        <v>0</v>
      </c>
      <c r="J16" s="15">
        <v>5</v>
      </c>
      <c r="K16" s="15">
        <v>5</v>
      </c>
      <c r="L16" s="15">
        <v>0</v>
      </c>
      <c r="M16" s="15">
        <v>0</v>
      </c>
      <c r="N16" s="15">
        <v>0</v>
      </c>
      <c r="O16" s="21">
        <f>+(E16*Otvory!D$1+F16*Otvory!D$2+G16*Otvory!D$3+H16*Otvory!D$4+I16*Otvory!D$5+J16*Otvory!D$6+K16*Otvory!D$7+L16*Otvory!D$8+M16*Otvory!D$9+N16*Otvory!D$10)</f>
        <v>33.875</v>
      </c>
      <c r="P16" s="21">
        <f>39*3</f>
        <v>117</v>
      </c>
      <c r="Q16" s="37">
        <f t="shared" si="0"/>
        <v>0.28952991452991456</v>
      </c>
      <c r="R16" s="38" t="s">
        <v>521</v>
      </c>
      <c r="S16" s="38">
        <v>2.2000000000000002</v>
      </c>
      <c r="T16" s="9">
        <f t="shared" ref="T16:T18" si="7">7*0.36</f>
        <v>2.52</v>
      </c>
      <c r="U16" s="3">
        <v>2.5</v>
      </c>
      <c r="V16" s="15"/>
    </row>
    <row r="17" spans="1:22" ht="14.25" customHeight="1" x14ac:dyDescent="0.25">
      <c r="A17" s="35" t="s">
        <v>26</v>
      </c>
      <c r="B17" s="14" t="s">
        <v>15</v>
      </c>
      <c r="C17" s="15" t="s">
        <v>433</v>
      </c>
      <c r="D17" s="21">
        <v>5.4110237169740616</v>
      </c>
      <c r="E17" s="15">
        <v>2</v>
      </c>
      <c r="F17" s="15">
        <v>0</v>
      </c>
      <c r="G17" s="15">
        <v>0</v>
      </c>
      <c r="H17" s="15">
        <v>0</v>
      </c>
      <c r="I17" s="15">
        <v>1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21">
        <f>+(E17*Otvory!D$1+F17*Otvory!D$2+G17*Otvory!D$3+H17*Otvory!D$4+I17*Otvory!D$5+J17*Otvory!D$6+K17*Otvory!D$7+L17*Otvory!D$8+M17*Otvory!D$9+N17*Otvory!D$10)</f>
        <v>6.84</v>
      </c>
      <c r="P17" s="21">
        <f>3*6+3*3</f>
        <v>27</v>
      </c>
      <c r="Q17" s="37">
        <f t="shared" si="0"/>
        <v>0.25333333333333335</v>
      </c>
      <c r="R17" s="38" t="s">
        <v>521</v>
      </c>
      <c r="S17" s="38">
        <v>1.9</v>
      </c>
      <c r="T17" s="9">
        <f t="shared" si="7"/>
        <v>2.52</v>
      </c>
      <c r="U17" s="3">
        <v>2.5</v>
      </c>
      <c r="V17" s="15"/>
    </row>
    <row r="18" spans="1:22" ht="14.25" customHeight="1" x14ac:dyDescent="0.25">
      <c r="A18" s="35" t="s">
        <v>28</v>
      </c>
      <c r="B18" s="14" t="s">
        <v>391</v>
      </c>
      <c r="C18" s="15" t="s">
        <v>427</v>
      </c>
      <c r="D18" s="21">
        <v>23</v>
      </c>
      <c r="E18" s="15">
        <v>10</v>
      </c>
      <c r="F18" s="15">
        <v>0</v>
      </c>
      <c r="G18" s="15">
        <v>0</v>
      </c>
      <c r="H18" s="15">
        <v>0</v>
      </c>
      <c r="I18" s="15">
        <v>0</v>
      </c>
      <c r="J18" s="15">
        <v>5</v>
      </c>
      <c r="K18" s="15">
        <v>5</v>
      </c>
      <c r="L18" s="15">
        <v>0</v>
      </c>
      <c r="M18" s="15">
        <v>0</v>
      </c>
      <c r="N18" s="15">
        <v>0</v>
      </c>
      <c r="O18" s="21">
        <f>+(E18*Otvory!D$1+F18*Otvory!D$2+G18*Otvory!D$3+H18*Otvory!D$4+I18*Otvory!D$5+J18*Otvory!D$6+K18*Otvory!D$7+L18*Otvory!D$8+M18*Otvory!D$9+N18*Otvory!D$10)</f>
        <v>33.875</v>
      </c>
      <c r="P18" s="21">
        <f>39*3</f>
        <v>117</v>
      </c>
      <c r="Q18" s="37">
        <f t="shared" si="0"/>
        <v>0.28952991452991456</v>
      </c>
      <c r="R18" s="38" t="s">
        <v>521</v>
      </c>
      <c r="S18" s="38">
        <v>2.2000000000000002</v>
      </c>
      <c r="T18" s="9">
        <f t="shared" si="7"/>
        <v>2.52</v>
      </c>
      <c r="U18" s="3">
        <v>2.5</v>
      </c>
      <c r="V18" s="15"/>
    </row>
    <row r="19" spans="1:22" ht="14.25" customHeight="1" x14ac:dyDescent="0.25">
      <c r="A19" s="35" t="s">
        <v>29</v>
      </c>
      <c r="B19" s="14" t="s">
        <v>36</v>
      </c>
      <c r="C19" s="15" t="s">
        <v>434</v>
      </c>
      <c r="D19" s="21">
        <v>27.534841957861396</v>
      </c>
      <c r="E19" s="15">
        <v>6</v>
      </c>
      <c r="F19" s="15">
        <v>0</v>
      </c>
      <c r="G19" s="15">
        <v>10</v>
      </c>
      <c r="H19" s="15">
        <v>1</v>
      </c>
      <c r="I19" s="15">
        <v>0</v>
      </c>
      <c r="J19" s="15">
        <v>0</v>
      </c>
      <c r="K19" s="15">
        <v>0</v>
      </c>
      <c r="L19" s="15">
        <v>0</v>
      </c>
      <c r="M19" s="15">
        <v>1</v>
      </c>
      <c r="N19" s="15">
        <v>0</v>
      </c>
      <c r="O19" s="21">
        <f>+(E19*Otvory!D$1+F19*Otvory!D$2+G19*Otvory!D$3+H19*Otvory!D$4+I19*Otvory!D$5+J19*Otvory!D$6+K19*Otvory!D$7+L19*Otvory!D$8+M19*Otvory!D$9+N19*Otvory!D$10)</f>
        <v>16.900000000000002</v>
      </c>
      <c r="P19" s="21">
        <f>27*3</f>
        <v>81</v>
      </c>
      <c r="Q19" s="37">
        <f t="shared" si="0"/>
        <v>0.20864197530864201</v>
      </c>
      <c r="R19" s="38" t="s">
        <v>520</v>
      </c>
      <c r="S19" s="38">
        <v>1.9</v>
      </c>
      <c r="T19" s="9">
        <f t="shared" ref="T19:U19" si="8">10*0.36</f>
        <v>3.5999999999999996</v>
      </c>
      <c r="U19" s="9">
        <f t="shared" si="8"/>
        <v>3.5999999999999996</v>
      </c>
      <c r="V19" s="15"/>
    </row>
    <row r="20" spans="1:22" ht="14.25" customHeight="1" x14ac:dyDescent="0.25">
      <c r="A20" s="35" t="s">
        <v>30</v>
      </c>
      <c r="B20" s="14" t="s">
        <v>37</v>
      </c>
      <c r="C20" s="15" t="s">
        <v>435</v>
      </c>
      <c r="D20" s="21">
        <v>74.525977054796982</v>
      </c>
      <c r="E20" s="15">
        <v>0</v>
      </c>
      <c r="F20" s="15">
        <v>0</v>
      </c>
      <c r="G20" s="15">
        <v>0</v>
      </c>
      <c r="H20" s="15">
        <v>1</v>
      </c>
      <c r="I20" s="15">
        <v>0</v>
      </c>
      <c r="J20" s="15">
        <v>0</v>
      </c>
      <c r="K20" s="15">
        <v>0</v>
      </c>
      <c r="L20" s="15">
        <v>0</v>
      </c>
      <c r="M20" s="15">
        <v>1</v>
      </c>
      <c r="N20" s="15">
        <v>0</v>
      </c>
      <c r="O20" s="21">
        <f>+(E20*Otvory!D$1+F20*Otvory!D$2+G20*Otvory!D$3+H20*Otvory!D$4+I20*Otvory!D$5+J20*Otvory!D$6+K20*Otvory!D$7+L20*Otvory!D$8+M20*Otvory!D$9+N20*Otvory!D$10)</f>
        <v>3.4000000000000004</v>
      </c>
      <c r="P20" s="21">
        <f>9*3</f>
        <v>27</v>
      </c>
      <c r="Q20" s="37">
        <f t="shared" si="0"/>
        <v>0.12592592592592594</v>
      </c>
      <c r="R20" s="38" t="s">
        <v>522</v>
      </c>
      <c r="S20" s="38">
        <v>3</v>
      </c>
      <c r="T20" s="9">
        <f>4*0.36</f>
        <v>1.44</v>
      </c>
      <c r="U20" s="3">
        <v>3</v>
      </c>
      <c r="V20" s="15"/>
    </row>
    <row r="21" spans="1:22" ht="14.25" customHeight="1" x14ac:dyDescent="0.25">
      <c r="A21" s="35" t="s">
        <v>31</v>
      </c>
      <c r="B21" s="14" t="s">
        <v>15</v>
      </c>
      <c r="C21" s="15" t="s">
        <v>437</v>
      </c>
      <c r="D21" s="21">
        <v>6.7448461922204519</v>
      </c>
      <c r="E21" s="15">
        <v>8</v>
      </c>
      <c r="F21" s="15">
        <v>0</v>
      </c>
      <c r="G21" s="15">
        <v>0</v>
      </c>
      <c r="H21" s="15">
        <v>0</v>
      </c>
      <c r="I21" s="15">
        <v>1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21">
        <f>+(E21*Otvory!D$1+F21*Otvory!D$2+G21*Otvory!D$3+H21*Otvory!D$4+I21*Otvory!D$5+J21*Otvory!D$6+K21*Otvory!D$7+L21*Otvory!D$8+M21*Otvory!D$9+N21*Otvory!D$10)</f>
        <v>14.940000000000001</v>
      </c>
      <c r="P21" s="21">
        <f>10*9</f>
        <v>90</v>
      </c>
      <c r="Q21" s="37">
        <f t="shared" si="0"/>
        <v>0.16600000000000001</v>
      </c>
      <c r="R21" s="38" t="s">
        <v>521</v>
      </c>
      <c r="S21" s="38">
        <v>1.9</v>
      </c>
      <c r="T21" s="9">
        <f t="shared" ref="T21:U22" si="9">10*0.36</f>
        <v>3.5999999999999996</v>
      </c>
      <c r="U21" s="9">
        <f t="shared" si="9"/>
        <v>3.5999999999999996</v>
      </c>
      <c r="V21" s="15"/>
    </row>
    <row r="22" spans="1:22" ht="14.25" customHeight="1" x14ac:dyDescent="0.25">
      <c r="A22" s="35" t="s">
        <v>38</v>
      </c>
      <c r="B22" s="14" t="s">
        <v>391</v>
      </c>
      <c r="C22" s="15" t="s">
        <v>436</v>
      </c>
      <c r="D22" s="21">
        <v>23</v>
      </c>
      <c r="E22" s="15">
        <v>5</v>
      </c>
      <c r="F22" s="15">
        <v>1</v>
      </c>
      <c r="G22" s="15">
        <v>0</v>
      </c>
      <c r="H22" s="15">
        <v>0</v>
      </c>
      <c r="I22" s="15">
        <v>1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21">
        <f>+(E22*Otvory!D$1+F22*Otvory!D$2+G22*Otvory!D$3+H22*Otvory!D$4+I22*Otvory!D$5+J22*Otvory!D$6+K22*Otvory!D$7+L22*Otvory!D$8+M22*Otvory!D$9+N22*Otvory!D$10)</f>
        <v>12.870000000000001</v>
      </c>
      <c r="P22" s="21">
        <f>28*3</f>
        <v>84</v>
      </c>
      <c r="Q22" s="37">
        <f t="shared" si="0"/>
        <v>0.15321428571428572</v>
      </c>
      <c r="R22" s="38" t="s">
        <v>522</v>
      </c>
      <c r="S22" s="38">
        <v>2.1</v>
      </c>
      <c r="T22" s="9">
        <f t="shared" si="9"/>
        <v>3.5999999999999996</v>
      </c>
      <c r="U22" s="9">
        <f t="shared" si="9"/>
        <v>3.5999999999999996</v>
      </c>
      <c r="V22" s="15"/>
    </row>
    <row r="23" spans="1:22" ht="14.25" customHeight="1" x14ac:dyDescent="0.25">
      <c r="A23" s="35" t="s">
        <v>39</v>
      </c>
      <c r="B23" s="14" t="s">
        <v>391</v>
      </c>
      <c r="C23" s="15" t="s">
        <v>438</v>
      </c>
      <c r="D23" s="21">
        <v>23</v>
      </c>
      <c r="E23" s="15">
        <f>11*2+10+6</f>
        <v>38</v>
      </c>
      <c r="F23" s="15">
        <v>10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2</v>
      </c>
      <c r="M23" s="15">
        <v>0</v>
      </c>
      <c r="N23" s="15">
        <v>0</v>
      </c>
      <c r="O23" s="21">
        <f>+(E23*Otvory!D$1+F23*Otvory!D$2+G23*Otvory!D$3+H23*Otvory!D$4+I23*Otvory!D$5+J23*Otvory!D$6+K23*Otvory!D$7+L23*Otvory!D$8+M23*Otvory!D$9+N23*Otvory!D$10)</f>
        <v>71.820000000000007</v>
      </c>
      <c r="P23" s="21">
        <f>98*3</f>
        <v>294</v>
      </c>
      <c r="Q23" s="37">
        <f t="shared" si="0"/>
        <v>0.2442857142857143</v>
      </c>
      <c r="R23" s="38" t="s">
        <v>522</v>
      </c>
      <c r="S23" s="38">
        <v>2.1</v>
      </c>
      <c r="T23" s="9">
        <f>7*0.36</f>
        <v>2.52</v>
      </c>
      <c r="U23" s="3">
        <v>2.5</v>
      </c>
      <c r="V23" s="15"/>
    </row>
    <row r="24" spans="1:22" ht="14.25" customHeight="1" x14ac:dyDescent="0.25">
      <c r="A24" s="35" t="s">
        <v>40</v>
      </c>
      <c r="B24" s="14" t="s">
        <v>47</v>
      </c>
      <c r="C24" s="15" t="s">
        <v>439</v>
      </c>
      <c r="D24" s="21">
        <v>6.3980051767713562</v>
      </c>
      <c r="E24" s="15">
        <v>8</v>
      </c>
      <c r="F24" s="15">
        <v>0</v>
      </c>
      <c r="G24" s="15">
        <v>1</v>
      </c>
      <c r="H24" s="15">
        <v>0</v>
      </c>
      <c r="I24" s="15">
        <v>1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21">
        <f>+(E24*Otvory!D$1+F24*Otvory!D$2+G24*Otvory!D$3+H24*Otvory!D$4+I24*Otvory!D$5+J24*Otvory!D$6+K24*Otvory!D$7+L24*Otvory!D$8+M24*Otvory!D$9+N24*Otvory!D$10)</f>
        <v>15.48</v>
      </c>
      <c r="P24" s="21">
        <f>30*3</f>
        <v>90</v>
      </c>
      <c r="Q24" s="37">
        <f t="shared" si="0"/>
        <v>0.17200000000000001</v>
      </c>
      <c r="R24" s="38" t="s">
        <v>522</v>
      </c>
      <c r="S24" s="38">
        <v>1.7</v>
      </c>
      <c r="T24" s="9">
        <f t="shared" ref="T24:U25" si="10">10*0.36</f>
        <v>3.5999999999999996</v>
      </c>
      <c r="U24" s="9">
        <f t="shared" si="10"/>
        <v>3.5999999999999996</v>
      </c>
      <c r="V24" s="15"/>
    </row>
    <row r="25" spans="1:22" ht="14.25" customHeight="1" x14ac:dyDescent="0.25">
      <c r="A25" s="35" t="s">
        <v>41</v>
      </c>
      <c r="B25" s="14" t="s">
        <v>34</v>
      </c>
      <c r="C25" s="15" t="s">
        <v>440</v>
      </c>
      <c r="D25" s="21">
        <v>2.9556304754559459</v>
      </c>
      <c r="E25" s="15">
        <v>2</v>
      </c>
      <c r="F25" s="15">
        <v>0</v>
      </c>
      <c r="G25" s="15">
        <v>0</v>
      </c>
      <c r="H25" s="15">
        <v>0</v>
      </c>
      <c r="I25" s="15">
        <v>1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21">
        <f>+(E25*Otvory!D$1+F25*Otvory!D$2+G25*Otvory!D$3+H25*Otvory!D$4+I25*Otvory!D$5+J25*Otvory!D$6+K25*Otvory!D$7+L25*Otvory!D$8+M25*Otvory!D$9+N25*Otvory!D$10)</f>
        <v>6.84</v>
      </c>
      <c r="P25" s="21">
        <f>13*3</f>
        <v>39</v>
      </c>
      <c r="Q25" s="37">
        <f t="shared" si="0"/>
        <v>0.17538461538461539</v>
      </c>
      <c r="R25" s="38" t="s">
        <v>522</v>
      </c>
      <c r="S25" s="38">
        <v>1.7</v>
      </c>
      <c r="T25" s="9">
        <f t="shared" si="10"/>
        <v>3.5999999999999996</v>
      </c>
      <c r="U25" s="9">
        <f t="shared" si="10"/>
        <v>3.5999999999999996</v>
      </c>
      <c r="V25" s="15"/>
    </row>
    <row r="26" spans="1:22" ht="14.25" customHeight="1" x14ac:dyDescent="0.25">
      <c r="A26" s="35" t="s">
        <v>42</v>
      </c>
      <c r="B26" s="14" t="s">
        <v>48</v>
      </c>
      <c r="C26" s="15" t="s">
        <v>440</v>
      </c>
      <c r="D26" s="21">
        <v>15.311765511392888</v>
      </c>
      <c r="E26" s="15">
        <v>1</v>
      </c>
      <c r="F26" s="15">
        <v>1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21">
        <f>+(E26*Otvory!D$1+F26*Otvory!D$2+G26*Otvory!D$3+H26*Otvory!D$4+I26*Otvory!D$5+J26*Otvory!D$6+K26*Otvory!D$7+L26*Otvory!D$8+M26*Otvory!D$9+N26*Otvory!D$10)</f>
        <v>3.33</v>
      </c>
      <c r="P26" s="21">
        <f>5*3</f>
        <v>15</v>
      </c>
      <c r="Q26" s="37">
        <f t="shared" si="0"/>
        <v>0.222</v>
      </c>
      <c r="R26" s="38" t="s">
        <v>523</v>
      </c>
      <c r="S26" s="38">
        <v>1</v>
      </c>
      <c r="T26" s="9">
        <f t="shared" ref="T26:T33" si="11">7*0.36</f>
        <v>2.52</v>
      </c>
      <c r="U26" s="3">
        <v>2.5</v>
      </c>
      <c r="V26" s="15"/>
    </row>
    <row r="27" spans="1:22" ht="14.25" customHeight="1" x14ac:dyDescent="0.25">
      <c r="A27" s="35" t="s">
        <v>43</v>
      </c>
      <c r="B27" s="14" t="s">
        <v>391</v>
      </c>
      <c r="C27" s="15" t="s">
        <v>546</v>
      </c>
      <c r="D27" s="21">
        <v>23</v>
      </c>
      <c r="E27" s="15">
        <v>10</v>
      </c>
      <c r="F27" s="15">
        <v>0</v>
      </c>
      <c r="G27" s="15">
        <v>0</v>
      </c>
      <c r="H27" s="15">
        <v>0</v>
      </c>
      <c r="I27" s="15">
        <v>0</v>
      </c>
      <c r="J27" s="15">
        <v>5</v>
      </c>
      <c r="K27" s="15">
        <v>5</v>
      </c>
      <c r="L27" s="15">
        <v>0</v>
      </c>
      <c r="M27" s="15">
        <v>0</v>
      </c>
      <c r="N27" s="15">
        <v>0</v>
      </c>
      <c r="O27" s="21">
        <f>+(E27*Otvory!D$1+F27*Otvory!D$2+G27*Otvory!D$3+H27*Otvory!D$4+I27*Otvory!D$5+J27*Otvory!D$6+K27*Otvory!D$7+L27*Otvory!D$8+M27*Otvory!D$9+N27*Otvory!D$10)</f>
        <v>33.875</v>
      </c>
      <c r="P27" s="21">
        <f>39*3</f>
        <v>117</v>
      </c>
      <c r="Q27" s="37">
        <f t="shared" si="0"/>
        <v>0.28952991452991456</v>
      </c>
      <c r="R27" s="38" t="s">
        <v>521</v>
      </c>
      <c r="S27" s="38">
        <v>2.2000000000000002</v>
      </c>
      <c r="T27" s="9">
        <f t="shared" si="11"/>
        <v>2.52</v>
      </c>
      <c r="U27" s="3">
        <v>2.5</v>
      </c>
      <c r="V27" s="15"/>
    </row>
    <row r="28" spans="1:22" ht="14.25" customHeight="1" x14ac:dyDescent="0.25">
      <c r="A28" s="35" t="s">
        <v>44</v>
      </c>
      <c r="B28" s="14" t="s">
        <v>15</v>
      </c>
      <c r="C28" s="15" t="s">
        <v>433</v>
      </c>
      <c r="D28" s="21">
        <v>5.4216648648933816</v>
      </c>
      <c r="E28" s="15">
        <v>2</v>
      </c>
      <c r="F28" s="15">
        <v>0</v>
      </c>
      <c r="G28" s="15">
        <v>0</v>
      </c>
      <c r="H28" s="15">
        <v>0</v>
      </c>
      <c r="I28" s="15">
        <v>1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21">
        <f>+(E28*Otvory!D$1+F28*Otvory!D$2+G28*Otvory!D$3+H28*Otvory!D$4+I28*Otvory!D$5+J28*Otvory!D$6+K28*Otvory!D$7+L28*Otvory!D$8+M28*Otvory!D$9+N28*Otvory!D$10)</f>
        <v>6.84</v>
      </c>
      <c r="P28" s="21">
        <f>3*6+3*3</f>
        <v>27</v>
      </c>
      <c r="Q28" s="37">
        <f t="shared" si="0"/>
        <v>0.25333333333333335</v>
      </c>
      <c r="R28" s="38" t="s">
        <v>521</v>
      </c>
      <c r="S28" s="38">
        <v>1.9</v>
      </c>
      <c r="T28" s="9">
        <f t="shared" si="11"/>
        <v>2.52</v>
      </c>
      <c r="U28" s="3">
        <v>2.5</v>
      </c>
      <c r="V28" s="15"/>
    </row>
    <row r="29" spans="1:22" ht="14.25" customHeight="1" x14ac:dyDescent="0.25">
      <c r="A29" s="35" t="s">
        <v>46</v>
      </c>
      <c r="B29" s="14" t="s">
        <v>391</v>
      </c>
      <c r="C29" s="15" t="s">
        <v>441</v>
      </c>
      <c r="D29" s="21">
        <v>23</v>
      </c>
      <c r="E29" s="15">
        <v>17</v>
      </c>
      <c r="F29" s="15">
        <v>0</v>
      </c>
      <c r="G29" s="15">
        <v>0</v>
      </c>
      <c r="H29" s="15">
        <v>0</v>
      </c>
      <c r="I29" s="15">
        <v>0</v>
      </c>
      <c r="J29" s="15">
        <v>10</v>
      </c>
      <c r="K29" s="15">
        <v>10</v>
      </c>
      <c r="L29" s="15">
        <v>0</v>
      </c>
      <c r="M29" s="15">
        <v>0</v>
      </c>
      <c r="N29" s="15">
        <v>0</v>
      </c>
      <c r="O29" s="21">
        <f>+(E29*Otvory!D$1+F29*Otvory!D$2+G29*Otvory!D$3+H29*Otvory!D$4+I29*Otvory!D$5+J29*Otvory!D$6+K29*Otvory!D$7+L29*Otvory!D$8+M29*Otvory!D$9+N29*Otvory!D$10)</f>
        <v>63.7</v>
      </c>
      <c r="P29" s="21">
        <f>40*3+12*3+36*3</f>
        <v>264</v>
      </c>
      <c r="Q29" s="37">
        <f t="shared" si="0"/>
        <v>0.2412878787878788</v>
      </c>
      <c r="R29" s="38" t="s">
        <v>521</v>
      </c>
      <c r="S29" s="38">
        <v>2.2000000000000002</v>
      </c>
      <c r="T29" s="9">
        <f t="shared" si="11"/>
        <v>2.52</v>
      </c>
      <c r="U29" s="3">
        <v>2.5</v>
      </c>
      <c r="V29" s="15"/>
    </row>
    <row r="30" spans="1:22" ht="14.25" customHeight="1" x14ac:dyDescent="0.25">
      <c r="A30" s="35" t="s">
        <v>49</v>
      </c>
      <c r="B30" s="14" t="s">
        <v>391</v>
      </c>
      <c r="C30" s="15" t="s">
        <v>442</v>
      </c>
      <c r="D30" s="21">
        <v>23</v>
      </c>
      <c r="E30" s="15">
        <v>9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21">
        <f>+(E30*Otvory!D$1+F30*Otvory!D$2+G30*Otvory!D$3+H30*Otvory!D$4+I30*Otvory!D$5+J30*Otvory!D$6+K30*Otvory!D$7+L30*Otvory!D$8+M30*Otvory!D$9+N30*Otvory!D$10)</f>
        <v>12.15</v>
      </c>
      <c r="P30" s="21">
        <f>34*3</f>
        <v>102</v>
      </c>
      <c r="Q30" s="37">
        <f t="shared" si="0"/>
        <v>0.11911764705882354</v>
      </c>
      <c r="R30" s="38" t="s">
        <v>520</v>
      </c>
      <c r="S30" s="38">
        <v>1.8</v>
      </c>
      <c r="T30" s="9">
        <f t="shared" ref="T30" si="12">10*0.36</f>
        <v>3.5999999999999996</v>
      </c>
      <c r="U30" s="3">
        <v>3.6</v>
      </c>
      <c r="V30" s="15"/>
    </row>
    <row r="31" spans="1:22" ht="14.25" customHeight="1" x14ac:dyDescent="0.25">
      <c r="A31" s="35" t="s">
        <v>50</v>
      </c>
      <c r="B31" s="14" t="s">
        <v>385</v>
      </c>
      <c r="C31" s="15" t="s">
        <v>443</v>
      </c>
      <c r="D31" s="21">
        <v>16.909338004795359</v>
      </c>
      <c r="E31" s="15">
        <v>4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21">
        <f>+(E31*Otvory!D$1+F31*Otvory!D$2+G31*Otvory!D$3+H31*Otvory!D$4+I31*Otvory!D$5+J31*Otvory!D$6+K31*Otvory!D$7+L31*Otvory!D$8+M31*Otvory!D$9+N31*Otvory!D$10)</f>
        <v>5.4</v>
      </c>
      <c r="P31" s="21">
        <f>18*3</f>
        <v>54</v>
      </c>
      <c r="Q31" s="37">
        <f t="shared" si="0"/>
        <v>0.1</v>
      </c>
      <c r="R31" s="38" t="s">
        <v>523</v>
      </c>
      <c r="S31" s="38">
        <v>1.1000000000000001</v>
      </c>
      <c r="T31" s="9">
        <f t="shared" si="11"/>
        <v>2.52</v>
      </c>
      <c r="U31" s="3">
        <v>2.5</v>
      </c>
      <c r="V31" s="15"/>
    </row>
    <row r="32" spans="1:22" ht="14.25" customHeight="1" x14ac:dyDescent="0.25">
      <c r="A32" s="35" t="s">
        <v>51</v>
      </c>
      <c r="B32" s="14" t="s">
        <v>391</v>
      </c>
      <c r="C32" s="15" t="s">
        <v>547</v>
      </c>
      <c r="D32" s="21">
        <v>23</v>
      </c>
      <c r="E32" s="15">
        <f>11*2+10</f>
        <v>32</v>
      </c>
      <c r="F32" s="15">
        <v>10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21">
        <f>+(E32*Otvory!D$1+F32*Otvory!D$2+G32*Otvory!D$3+H32*Otvory!D$4+I32*Otvory!D$5+J32*Otvory!D$6+K32*Otvory!D$7+L32*Otvory!D$8+M32*Otvory!D$9+N32*Otvory!D$10)</f>
        <v>63</v>
      </c>
      <c r="P32" s="21">
        <f>86*3</f>
        <v>258</v>
      </c>
      <c r="Q32" s="37">
        <f t="shared" si="0"/>
        <v>0.2441860465116279</v>
      </c>
      <c r="R32" s="38" t="s">
        <v>522</v>
      </c>
      <c r="S32" s="38">
        <v>2.1</v>
      </c>
      <c r="T32" s="9">
        <f t="shared" si="11"/>
        <v>2.52</v>
      </c>
      <c r="U32" s="3">
        <v>2.5</v>
      </c>
      <c r="V32" s="15"/>
    </row>
    <row r="33" spans="1:22" ht="14.25" customHeight="1" x14ac:dyDescent="0.25">
      <c r="A33" s="35" t="s">
        <v>52</v>
      </c>
      <c r="B33" s="14" t="s">
        <v>391</v>
      </c>
      <c r="C33" s="15" t="s">
        <v>420</v>
      </c>
      <c r="D33" s="21">
        <v>23</v>
      </c>
      <c r="E33" s="15">
        <v>12</v>
      </c>
      <c r="F33" s="15">
        <v>5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21">
        <f>+(E33*Otvory!D$1+F33*Otvory!D$2+G33*Otvory!D$3+H33*Otvory!D$4+I33*Otvory!D$5+J33*Otvory!D$6+K33*Otvory!D$7+L33*Otvory!D$8+M33*Otvory!D$9+N33*Otvory!D$10)</f>
        <v>26.1</v>
      </c>
      <c r="P33" s="21">
        <f>19*3+12*3</f>
        <v>93</v>
      </c>
      <c r="Q33" s="37">
        <f t="shared" si="0"/>
        <v>0.28064516129032258</v>
      </c>
      <c r="R33" s="38" t="s">
        <v>522</v>
      </c>
      <c r="S33" s="38">
        <v>2.1</v>
      </c>
      <c r="T33" s="9">
        <f t="shared" si="11"/>
        <v>2.52</v>
      </c>
      <c r="U33" s="3">
        <v>2.5</v>
      </c>
      <c r="V33" s="15"/>
    </row>
    <row r="34" spans="1:22" ht="14.25" customHeight="1" x14ac:dyDescent="0.25">
      <c r="A34" s="34" t="s">
        <v>460</v>
      </c>
      <c r="B34" s="39" t="s">
        <v>462</v>
      </c>
      <c r="C34" s="15" t="s">
        <v>435</v>
      </c>
      <c r="D34" s="21">
        <v>14.378450672795031</v>
      </c>
      <c r="E34" s="15">
        <v>0</v>
      </c>
      <c r="F34" s="15">
        <v>0</v>
      </c>
      <c r="G34" s="15">
        <v>2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21">
        <f>+(E34*Otvory!D$1+F34*Otvory!D$2+G34*Otvory!D$3+H34*Otvory!D$4+I34*Otvory!D$5+J34*Otvory!D$6+K34*Otvory!D$7+L34*Otvory!D$8+M34*Otvory!D$9+N34*Otvory!D$10)</f>
        <v>1.08</v>
      </c>
      <c r="P34" s="21">
        <f>22*3</f>
        <v>66</v>
      </c>
      <c r="Q34" s="37">
        <f t="shared" si="0"/>
        <v>1.6363636363636365E-2</v>
      </c>
      <c r="R34" s="38" t="s">
        <v>524</v>
      </c>
      <c r="S34" s="38">
        <v>0.9</v>
      </c>
      <c r="T34" s="9">
        <f>3*0.36</f>
        <v>1.08</v>
      </c>
      <c r="U34" s="3">
        <v>1.1000000000000001</v>
      </c>
      <c r="V34" s="15"/>
    </row>
    <row r="35" spans="1:22" ht="14.25" customHeight="1" x14ac:dyDescent="0.25">
      <c r="A35" s="34" t="s">
        <v>461</v>
      </c>
      <c r="B35" s="39" t="s">
        <v>463</v>
      </c>
      <c r="C35" s="15" t="s">
        <v>430</v>
      </c>
      <c r="D35" s="21">
        <v>13.894327754519106</v>
      </c>
      <c r="E35" s="15">
        <v>0</v>
      </c>
      <c r="F35" s="15">
        <v>0</v>
      </c>
      <c r="G35" s="15">
        <v>3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21">
        <f>+(E35*Otvory!D$1+F35*Otvory!D$2+G35*Otvory!D$3+H35*Otvory!D$4+I35*Otvory!D$5+J35*Otvory!D$6+K35*Otvory!D$7+L35*Otvory!D$8+M35*Otvory!D$9+N35*Otvory!D$10)</f>
        <v>1.62</v>
      </c>
      <c r="P35" s="21">
        <f>24*3</f>
        <v>72</v>
      </c>
      <c r="Q35" s="37">
        <f t="shared" si="0"/>
        <v>2.2500000000000003E-2</v>
      </c>
      <c r="R35" s="38" t="s">
        <v>524</v>
      </c>
      <c r="S35" s="38">
        <v>0.9</v>
      </c>
      <c r="T35" s="9">
        <f>3*0.36</f>
        <v>1.08</v>
      </c>
      <c r="U35" s="3">
        <v>1.1000000000000001</v>
      </c>
      <c r="V35" s="15"/>
    </row>
    <row r="36" spans="1:22" ht="14.25" customHeight="1" x14ac:dyDescent="0.25">
      <c r="A36" s="35" t="s">
        <v>57</v>
      </c>
      <c r="B36" s="14" t="s">
        <v>60</v>
      </c>
      <c r="C36" s="15" t="s">
        <v>445</v>
      </c>
      <c r="D36" s="21">
        <v>3.0255242991022175</v>
      </c>
      <c r="E36" s="15">
        <v>0</v>
      </c>
      <c r="F36" s="15">
        <v>0</v>
      </c>
      <c r="G36" s="15">
        <v>0</v>
      </c>
      <c r="H36" s="15">
        <v>0</v>
      </c>
      <c r="I36" s="15">
        <v>6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21">
        <f>+(E36*Otvory!D$1+F36*Otvory!D$2+G36*Otvory!D$3+H36*Otvory!D$4+I36*Otvory!D$5+J36*Otvory!D$6+K36*Otvory!D$7+L36*Otvory!D$8+M36*Otvory!D$9+N36*Otvory!D$10)</f>
        <v>24.839999999999996</v>
      </c>
      <c r="P36" s="21">
        <v>30</v>
      </c>
      <c r="Q36" s="37">
        <f t="shared" si="0"/>
        <v>0.82799999999999985</v>
      </c>
      <c r="R36" s="38" t="s">
        <v>525</v>
      </c>
      <c r="S36" s="38">
        <v>2.6</v>
      </c>
      <c r="T36" s="9">
        <f>10*0.36</f>
        <v>3.5999999999999996</v>
      </c>
      <c r="U36" s="3">
        <v>3.6</v>
      </c>
      <c r="V36" s="15"/>
    </row>
    <row r="37" spans="1:22" ht="14.25" customHeight="1" x14ac:dyDescent="0.25">
      <c r="A37" s="35" t="s">
        <v>58</v>
      </c>
      <c r="B37" s="14" t="s">
        <v>61</v>
      </c>
      <c r="C37" s="15" t="s">
        <v>444</v>
      </c>
      <c r="D37" s="21">
        <v>34.972704014906185</v>
      </c>
      <c r="E37" s="15">
        <v>4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21">
        <f>+(E37*Otvory!D$1+F37*Otvory!D$2+G37*Otvory!D$3+H37*Otvory!D$4+I37*Otvory!D$5+J37*Otvory!D$6+K37*Otvory!D$7+L37*Otvory!D$8+M37*Otvory!D$9+N37*Otvory!D$10)</f>
        <v>5.4</v>
      </c>
      <c r="P37" s="21">
        <v>30</v>
      </c>
      <c r="Q37" s="37">
        <f t="shared" si="0"/>
        <v>0.18000000000000002</v>
      </c>
      <c r="R37" s="38" t="s">
        <v>520</v>
      </c>
      <c r="S37" s="38">
        <v>2</v>
      </c>
      <c r="T37" s="9">
        <f>10*0.36</f>
        <v>3.5999999999999996</v>
      </c>
      <c r="U37" s="3">
        <v>3.6</v>
      </c>
      <c r="V37" s="15"/>
    </row>
    <row r="38" spans="1:22" ht="14.25" customHeight="1" x14ac:dyDescent="0.25">
      <c r="V38" s="3"/>
    </row>
    <row r="39" spans="1:22" ht="14.25" customHeight="1" x14ac:dyDescent="0.25">
      <c r="V39" s="3"/>
    </row>
    <row r="40" spans="1:22" ht="14.25" customHeight="1" x14ac:dyDescent="0.25">
      <c r="V40" s="15"/>
    </row>
    <row r="41" spans="1:22" ht="14.25" customHeight="1" x14ac:dyDescent="0.25">
      <c r="V41" s="15"/>
    </row>
    <row r="42" spans="1:22" ht="14.25" customHeight="1" x14ac:dyDescent="0.25">
      <c r="V42" s="15"/>
    </row>
    <row r="43" spans="1:22" ht="14.25" customHeight="1" x14ac:dyDescent="0.25">
      <c r="V43" s="15"/>
    </row>
  </sheetData>
  <printOptions gridLines="1"/>
  <pageMargins left="0.70866141732283472" right="0.70866141732283472" top="1.2204724409448819" bottom="0.78740157480314965" header="0.82677165354330717" footer="0.31496062992125984"/>
  <pageSetup paperSize="9" orientation="portrait" horizontalDpi="300" verticalDpi="300" r:id="rId1"/>
  <headerFooter>
    <oddHeader>&amp;L&amp;A&amp;RTABULKA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workbookViewId="0">
      <selection activeCell="N40" sqref="N40"/>
    </sheetView>
  </sheetViews>
  <sheetFormatPr defaultRowHeight="14.25" customHeight="1" x14ac:dyDescent="0.25"/>
  <cols>
    <col min="1" max="1" width="9.140625" style="34"/>
    <col min="2" max="2" width="18" style="2" customWidth="1"/>
    <col min="4" max="4" width="9.140625" style="3"/>
    <col min="5" max="5" width="9.140625" style="3" customWidth="1"/>
    <col min="6" max="7" width="9.140625" style="4" customWidth="1"/>
  </cols>
  <sheetData>
    <row r="1" spans="1:7" s="30" customFormat="1" ht="35.25" customHeight="1" x14ac:dyDescent="0.25">
      <c r="A1" s="23" t="s">
        <v>53</v>
      </c>
      <c r="B1" s="23" t="s">
        <v>54</v>
      </c>
      <c r="C1" s="23" t="s">
        <v>406</v>
      </c>
      <c r="D1" s="24" t="s">
        <v>390</v>
      </c>
      <c r="E1" s="23" t="s">
        <v>512</v>
      </c>
      <c r="F1" s="23" t="s">
        <v>513</v>
      </c>
      <c r="G1" s="23" t="s">
        <v>514</v>
      </c>
    </row>
    <row r="2" spans="1:7" ht="14.25" customHeight="1" x14ac:dyDescent="0.25">
      <c r="A2" s="34" t="s">
        <v>0</v>
      </c>
      <c r="B2" s="14" t="s">
        <v>10</v>
      </c>
      <c r="C2" s="33">
        <v>41.71</v>
      </c>
      <c r="D2" s="17">
        <v>1.05</v>
      </c>
      <c r="E2" s="3">
        <f>ROUNDUP(SQRT(C2*D2)*0.15,0)</f>
        <v>1</v>
      </c>
      <c r="F2" s="4">
        <f>+E2*6</f>
        <v>6</v>
      </c>
      <c r="G2" s="4">
        <f>+F2/6</f>
        <v>1</v>
      </c>
    </row>
    <row r="3" spans="1:7" ht="14.25" customHeight="1" x14ac:dyDescent="0.25">
      <c r="A3" s="34" t="s">
        <v>1</v>
      </c>
      <c r="B3" s="14" t="s">
        <v>11</v>
      </c>
      <c r="C3" s="33">
        <v>22</v>
      </c>
      <c r="D3" s="17">
        <v>0.5</v>
      </c>
      <c r="E3" s="3">
        <f t="shared" ref="E3:E43" si="0">ROUNDUP(SQRT(C3*D3)*0.15,0)</f>
        <v>1</v>
      </c>
      <c r="F3" s="4">
        <f t="shared" ref="F3:F43" si="1">+E3*6</f>
        <v>6</v>
      </c>
      <c r="G3" s="4">
        <f t="shared" ref="G3:G43" si="2">+F3/6</f>
        <v>1</v>
      </c>
    </row>
    <row r="4" spans="1:7" ht="14.25" customHeight="1" x14ac:dyDescent="0.25">
      <c r="A4" s="34" t="s">
        <v>2</v>
      </c>
      <c r="B4" s="14" t="s">
        <v>12</v>
      </c>
      <c r="C4" s="33">
        <v>28</v>
      </c>
      <c r="D4" s="17">
        <v>0.9</v>
      </c>
      <c r="E4" s="3">
        <f t="shared" si="0"/>
        <v>1</v>
      </c>
      <c r="F4" s="4">
        <f t="shared" si="1"/>
        <v>6</v>
      </c>
      <c r="G4" s="4">
        <f t="shared" si="2"/>
        <v>1</v>
      </c>
    </row>
    <row r="5" spans="1:7" ht="14.25" customHeight="1" x14ac:dyDescent="0.25">
      <c r="A5" s="34" t="s">
        <v>3</v>
      </c>
      <c r="B5" s="14" t="s">
        <v>13</v>
      </c>
      <c r="C5" s="33">
        <v>169.53</v>
      </c>
      <c r="D5" s="17">
        <v>0.99090909090909096</v>
      </c>
      <c r="E5" s="3">
        <f t="shared" si="0"/>
        <v>2</v>
      </c>
      <c r="F5" s="4">
        <f t="shared" si="1"/>
        <v>12</v>
      </c>
      <c r="G5" s="4">
        <f t="shared" si="2"/>
        <v>2</v>
      </c>
    </row>
    <row r="6" spans="1:7" s="4" customFormat="1" ht="14.25" customHeight="1" x14ac:dyDescent="0.25">
      <c r="A6" s="34" t="s">
        <v>4</v>
      </c>
      <c r="B6" s="14" t="s">
        <v>14</v>
      </c>
      <c r="C6" s="33">
        <v>20.68</v>
      </c>
      <c r="D6" s="17">
        <v>0.70799999999999996</v>
      </c>
      <c r="E6" s="3">
        <f t="shared" si="0"/>
        <v>1</v>
      </c>
      <c r="F6" s="4">
        <f t="shared" si="1"/>
        <v>6</v>
      </c>
      <c r="G6" s="4">
        <f t="shared" si="2"/>
        <v>1</v>
      </c>
    </row>
    <row r="7" spans="1:7" s="4" customFormat="1" ht="14.25" customHeight="1" x14ac:dyDescent="0.25">
      <c r="A7" s="34" t="s">
        <v>5</v>
      </c>
      <c r="B7" s="14" t="s">
        <v>15</v>
      </c>
      <c r="C7" s="33">
        <v>49.63</v>
      </c>
      <c r="D7" s="17">
        <v>0.85</v>
      </c>
      <c r="E7" s="3">
        <f t="shared" si="0"/>
        <v>1</v>
      </c>
      <c r="F7" s="4">
        <f t="shared" si="1"/>
        <v>6</v>
      </c>
      <c r="G7" s="4">
        <f t="shared" si="2"/>
        <v>1</v>
      </c>
    </row>
    <row r="8" spans="1:7" s="4" customFormat="1" ht="14.25" customHeight="1" x14ac:dyDescent="0.25">
      <c r="A8" s="34" t="s">
        <v>6</v>
      </c>
      <c r="B8" s="14" t="s">
        <v>16</v>
      </c>
      <c r="C8" s="33">
        <v>10.6</v>
      </c>
      <c r="D8" s="17">
        <v>0.9</v>
      </c>
      <c r="E8" s="3">
        <f t="shared" si="0"/>
        <v>1</v>
      </c>
      <c r="F8" s="4">
        <f t="shared" si="1"/>
        <v>6</v>
      </c>
      <c r="G8" s="4">
        <f t="shared" si="2"/>
        <v>1</v>
      </c>
    </row>
    <row r="9" spans="1:7" s="4" customFormat="1" ht="14.25" customHeight="1" x14ac:dyDescent="0.25">
      <c r="A9" s="34" t="s">
        <v>7</v>
      </c>
      <c r="B9" s="14" t="s">
        <v>17</v>
      </c>
      <c r="C9" s="33">
        <v>321.20000000000005</v>
      </c>
      <c r="D9" s="17">
        <v>0.94285714285714284</v>
      </c>
      <c r="E9" s="3">
        <f t="shared" si="0"/>
        <v>3</v>
      </c>
      <c r="F9" s="4">
        <f t="shared" si="1"/>
        <v>18</v>
      </c>
      <c r="G9" s="4">
        <f t="shared" si="2"/>
        <v>3</v>
      </c>
    </row>
    <row r="10" spans="1:7" s="4" customFormat="1" ht="14.25" customHeight="1" x14ac:dyDescent="0.25">
      <c r="A10" s="34" t="s">
        <v>8</v>
      </c>
      <c r="B10" s="14" t="s">
        <v>18</v>
      </c>
      <c r="C10" s="33">
        <v>158.12</v>
      </c>
      <c r="D10" s="17">
        <v>0.85</v>
      </c>
      <c r="E10" s="3">
        <f t="shared" si="0"/>
        <v>2</v>
      </c>
      <c r="F10" s="4">
        <f t="shared" si="1"/>
        <v>12</v>
      </c>
      <c r="G10" s="4">
        <f t="shared" si="2"/>
        <v>2</v>
      </c>
    </row>
    <row r="11" spans="1:7" s="4" customFormat="1" ht="14.25" customHeight="1" x14ac:dyDescent="0.25">
      <c r="A11" s="34" t="s">
        <v>9</v>
      </c>
      <c r="B11" s="14" t="s">
        <v>407</v>
      </c>
      <c r="C11" s="33">
        <v>20.54</v>
      </c>
      <c r="D11" s="17">
        <v>0.9</v>
      </c>
      <c r="E11" s="3">
        <f t="shared" si="0"/>
        <v>1</v>
      </c>
      <c r="F11" s="4">
        <f t="shared" si="1"/>
        <v>6</v>
      </c>
      <c r="G11" s="4">
        <f t="shared" si="2"/>
        <v>1</v>
      </c>
    </row>
    <row r="12" spans="1:7" s="4" customFormat="1" ht="14.25" customHeight="1" x14ac:dyDescent="0.25">
      <c r="A12" s="34" t="s">
        <v>19</v>
      </c>
      <c r="B12" s="14" t="s">
        <v>32</v>
      </c>
      <c r="C12" s="33">
        <v>172.32</v>
      </c>
      <c r="D12" s="17">
        <v>0.98888888888888893</v>
      </c>
      <c r="E12" s="3">
        <f t="shared" si="0"/>
        <v>2</v>
      </c>
      <c r="F12" s="4">
        <f t="shared" si="1"/>
        <v>12</v>
      </c>
      <c r="G12" s="4">
        <f t="shared" si="2"/>
        <v>2</v>
      </c>
    </row>
    <row r="13" spans="1:7" s="4" customFormat="1" ht="14.25" customHeight="1" x14ac:dyDescent="0.25">
      <c r="A13" s="34" t="s">
        <v>20</v>
      </c>
      <c r="B13" s="14" t="s">
        <v>391</v>
      </c>
      <c r="C13" s="33">
        <v>238.32999999999996</v>
      </c>
      <c r="D13" s="22">
        <v>0.9</v>
      </c>
      <c r="E13" s="3">
        <f t="shared" si="0"/>
        <v>3</v>
      </c>
      <c r="F13" s="4">
        <f t="shared" si="1"/>
        <v>18</v>
      </c>
      <c r="G13" s="4">
        <f t="shared" si="2"/>
        <v>3</v>
      </c>
    </row>
    <row r="14" spans="1:7" s="4" customFormat="1" ht="14.25" customHeight="1" x14ac:dyDescent="0.25">
      <c r="A14" s="34" t="s">
        <v>21</v>
      </c>
      <c r="B14" s="14" t="s">
        <v>33</v>
      </c>
      <c r="C14" s="33">
        <v>86.99</v>
      </c>
      <c r="D14" s="17">
        <v>0.9</v>
      </c>
      <c r="E14" s="3">
        <f t="shared" si="0"/>
        <v>2</v>
      </c>
      <c r="F14" s="4">
        <f t="shared" si="1"/>
        <v>12</v>
      </c>
      <c r="G14" s="4">
        <f t="shared" si="2"/>
        <v>2</v>
      </c>
    </row>
    <row r="15" spans="1:7" s="4" customFormat="1" ht="14.25" customHeight="1" x14ac:dyDescent="0.25">
      <c r="A15" s="34" t="s">
        <v>22</v>
      </c>
      <c r="B15" s="14" t="s">
        <v>34</v>
      </c>
      <c r="C15" s="33">
        <v>24.08</v>
      </c>
      <c r="D15" s="17">
        <v>0.7</v>
      </c>
      <c r="E15" s="3">
        <f t="shared" si="0"/>
        <v>1</v>
      </c>
      <c r="F15" s="4">
        <f t="shared" si="1"/>
        <v>6</v>
      </c>
      <c r="G15" s="4">
        <f t="shared" si="2"/>
        <v>1</v>
      </c>
    </row>
    <row r="16" spans="1:7" s="4" customFormat="1" ht="14.25" customHeight="1" x14ac:dyDescent="0.25">
      <c r="A16" s="34" t="s">
        <v>23</v>
      </c>
      <c r="B16" s="14" t="s">
        <v>35</v>
      </c>
      <c r="C16" s="33">
        <v>2.65</v>
      </c>
      <c r="D16" s="17">
        <v>0.99375000000000002</v>
      </c>
      <c r="E16" s="3">
        <f t="shared" si="0"/>
        <v>1</v>
      </c>
      <c r="F16" s="4">
        <f t="shared" si="1"/>
        <v>6</v>
      </c>
      <c r="G16" s="4">
        <f t="shared" si="2"/>
        <v>1</v>
      </c>
    </row>
    <row r="17" spans="1:7" s="4" customFormat="1" ht="14.25" customHeight="1" x14ac:dyDescent="0.25">
      <c r="A17" s="34" t="s">
        <v>24</v>
      </c>
      <c r="B17" s="14" t="s">
        <v>391</v>
      </c>
      <c r="C17" s="33">
        <v>55.820000000000007</v>
      </c>
      <c r="D17" s="22">
        <v>0.9</v>
      </c>
      <c r="E17" s="3">
        <f t="shared" si="0"/>
        <v>2</v>
      </c>
      <c r="F17" s="4">
        <f t="shared" si="1"/>
        <v>12</v>
      </c>
      <c r="G17" s="4">
        <f t="shared" si="2"/>
        <v>2</v>
      </c>
    </row>
    <row r="18" spans="1:7" s="4" customFormat="1" ht="14.25" customHeight="1" x14ac:dyDescent="0.25">
      <c r="A18" s="34" t="s">
        <v>25</v>
      </c>
      <c r="B18" s="14" t="s">
        <v>391</v>
      </c>
      <c r="C18" s="33">
        <v>193.43</v>
      </c>
      <c r="D18" s="22">
        <v>0.9</v>
      </c>
      <c r="E18" s="3">
        <f t="shared" si="0"/>
        <v>2</v>
      </c>
      <c r="F18" s="4">
        <f t="shared" si="1"/>
        <v>12</v>
      </c>
      <c r="G18" s="4">
        <f t="shared" si="2"/>
        <v>2</v>
      </c>
    </row>
    <row r="19" spans="1:7" s="4" customFormat="1" ht="14.25" customHeight="1" x14ac:dyDescent="0.25">
      <c r="A19" s="34" t="s">
        <v>26</v>
      </c>
      <c r="B19" s="14" t="s">
        <v>15</v>
      </c>
      <c r="C19" s="33">
        <v>50.85</v>
      </c>
      <c r="D19" s="17">
        <v>0.85</v>
      </c>
      <c r="E19" s="3">
        <f t="shared" si="0"/>
        <v>1</v>
      </c>
      <c r="F19" s="4">
        <f t="shared" si="1"/>
        <v>6</v>
      </c>
      <c r="G19" s="4">
        <f t="shared" si="2"/>
        <v>1</v>
      </c>
    </row>
    <row r="20" spans="1:7" s="4" customFormat="1" ht="14.25" customHeight="1" x14ac:dyDescent="0.25">
      <c r="A20" s="34" t="s">
        <v>27</v>
      </c>
      <c r="B20" s="14" t="s">
        <v>16</v>
      </c>
      <c r="C20" s="33">
        <v>10.6</v>
      </c>
      <c r="D20" s="17">
        <v>0.9</v>
      </c>
      <c r="E20" s="3">
        <f t="shared" si="0"/>
        <v>1</v>
      </c>
      <c r="F20" s="4">
        <f t="shared" si="1"/>
        <v>6</v>
      </c>
      <c r="G20" s="4">
        <f t="shared" si="2"/>
        <v>1</v>
      </c>
    </row>
    <row r="21" spans="1:7" s="4" customFormat="1" ht="14.25" customHeight="1" x14ac:dyDescent="0.25">
      <c r="A21" s="34" t="s">
        <v>28</v>
      </c>
      <c r="B21" s="14" t="s">
        <v>391</v>
      </c>
      <c r="C21" s="33">
        <v>192.98000000000002</v>
      </c>
      <c r="D21" s="22">
        <v>0.9</v>
      </c>
      <c r="E21" s="3">
        <f t="shared" si="0"/>
        <v>2</v>
      </c>
      <c r="F21" s="4">
        <f t="shared" si="1"/>
        <v>12</v>
      </c>
      <c r="G21" s="4">
        <f t="shared" si="2"/>
        <v>2</v>
      </c>
    </row>
    <row r="22" spans="1:7" s="4" customFormat="1" ht="14.25" customHeight="1" x14ac:dyDescent="0.25">
      <c r="A22" s="34" t="s">
        <v>29</v>
      </c>
      <c r="B22" s="14" t="s">
        <v>36</v>
      </c>
      <c r="C22" s="33">
        <v>110.52999999999999</v>
      </c>
      <c r="D22" s="17">
        <v>0.98750000000000004</v>
      </c>
      <c r="E22" s="3">
        <f t="shared" si="0"/>
        <v>2</v>
      </c>
      <c r="F22" s="4">
        <f t="shared" si="1"/>
        <v>12</v>
      </c>
      <c r="G22" s="4">
        <f t="shared" si="2"/>
        <v>2</v>
      </c>
    </row>
    <row r="23" spans="1:7" s="4" customFormat="1" ht="14.25" customHeight="1" x14ac:dyDescent="0.25">
      <c r="A23" s="34" t="s">
        <v>30</v>
      </c>
      <c r="B23" s="14" t="s">
        <v>37</v>
      </c>
      <c r="C23" s="33">
        <v>23.79</v>
      </c>
      <c r="D23" s="17">
        <v>1.046103896103896</v>
      </c>
      <c r="E23" s="3">
        <f t="shared" si="0"/>
        <v>1</v>
      </c>
      <c r="F23" s="4">
        <f t="shared" si="1"/>
        <v>6</v>
      </c>
      <c r="G23" s="4">
        <f t="shared" si="2"/>
        <v>1</v>
      </c>
    </row>
    <row r="24" spans="1:7" s="4" customFormat="1" ht="14.25" customHeight="1" x14ac:dyDescent="0.25">
      <c r="A24" s="34" t="s">
        <v>31</v>
      </c>
      <c r="B24" s="14" t="s">
        <v>15</v>
      </c>
      <c r="C24" s="33">
        <v>158.75</v>
      </c>
      <c r="D24" s="17">
        <v>0.85</v>
      </c>
      <c r="E24" s="3">
        <f t="shared" si="0"/>
        <v>2</v>
      </c>
      <c r="F24" s="4">
        <f t="shared" si="1"/>
        <v>12</v>
      </c>
      <c r="G24" s="4">
        <f t="shared" si="2"/>
        <v>2</v>
      </c>
    </row>
    <row r="25" spans="1:7" s="4" customFormat="1" ht="14.25" customHeight="1" x14ac:dyDescent="0.25">
      <c r="A25" s="34" t="s">
        <v>38</v>
      </c>
      <c r="B25" s="14" t="s">
        <v>391</v>
      </c>
      <c r="C25" s="33">
        <v>57.28</v>
      </c>
      <c r="D25" s="22">
        <v>0.9</v>
      </c>
      <c r="E25" s="3">
        <f t="shared" si="0"/>
        <v>2</v>
      </c>
      <c r="F25" s="4">
        <f t="shared" si="1"/>
        <v>12</v>
      </c>
      <c r="G25" s="4">
        <f t="shared" si="2"/>
        <v>2</v>
      </c>
    </row>
    <row r="26" spans="1:7" s="4" customFormat="1" ht="14.25" customHeight="1" x14ac:dyDescent="0.25">
      <c r="A26" s="34" t="s">
        <v>39</v>
      </c>
      <c r="B26" s="14" t="s">
        <v>391</v>
      </c>
      <c r="C26" s="33">
        <v>504.3900000000001</v>
      </c>
      <c r="D26" s="22">
        <v>0.9</v>
      </c>
      <c r="E26" s="3">
        <f t="shared" si="0"/>
        <v>4</v>
      </c>
      <c r="F26" s="4">
        <f t="shared" si="1"/>
        <v>24</v>
      </c>
      <c r="G26" s="4">
        <f t="shared" si="2"/>
        <v>4</v>
      </c>
    </row>
    <row r="27" spans="1:7" s="4" customFormat="1" ht="14.25" customHeight="1" x14ac:dyDescent="0.25">
      <c r="A27" s="34" t="s">
        <v>40</v>
      </c>
      <c r="B27" s="14" t="s">
        <v>47</v>
      </c>
      <c r="C27" s="33">
        <v>103</v>
      </c>
      <c r="D27" s="17">
        <v>0.6333333333333333</v>
      </c>
      <c r="E27" s="3">
        <f t="shared" si="0"/>
        <v>2</v>
      </c>
      <c r="F27" s="4">
        <f t="shared" si="1"/>
        <v>12</v>
      </c>
      <c r="G27" s="4">
        <f t="shared" si="2"/>
        <v>2</v>
      </c>
    </row>
    <row r="28" spans="1:7" s="4" customFormat="1" ht="14.25" customHeight="1" x14ac:dyDescent="0.25">
      <c r="A28" s="34" t="s">
        <v>41</v>
      </c>
      <c r="B28" s="14" t="s">
        <v>34</v>
      </c>
      <c r="C28" s="33">
        <v>25.82</v>
      </c>
      <c r="D28" s="17">
        <v>0.7</v>
      </c>
      <c r="E28" s="3">
        <f t="shared" si="0"/>
        <v>1</v>
      </c>
      <c r="F28" s="4">
        <f t="shared" si="1"/>
        <v>6</v>
      </c>
      <c r="G28" s="4">
        <f t="shared" si="2"/>
        <v>1</v>
      </c>
    </row>
    <row r="29" spans="1:7" s="4" customFormat="1" ht="14.25" customHeight="1" x14ac:dyDescent="0.25">
      <c r="A29" s="34" t="s">
        <v>42</v>
      </c>
      <c r="B29" s="14" t="s">
        <v>48</v>
      </c>
      <c r="C29" s="33">
        <v>29.75</v>
      </c>
      <c r="D29" s="17">
        <v>0.9</v>
      </c>
      <c r="E29" s="3">
        <f t="shared" si="0"/>
        <v>1</v>
      </c>
      <c r="F29" s="4">
        <f t="shared" si="1"/>
        <v>6</v>
      </c>
      <c r="G29" s="4">
        <f t="shared" si="2"/>
        <v>1</v>
      </c>
    </row>
    <row r="30" spans="1:7" s="4" customFormat="1" ht="14.25" customHeight="1" x14ac:dyDescent="0.25">
      <c r="A30" s="34" t="s">
        <v>43</v>
      </c>
      <c r="B30" s="14" t="s">
        <v>391</v>
      </c>
      <c r="C30" s="33">
        <v>203</v>
      </c>
      <c r="D30" s="22">
        <v>0.9</v>
      </c>
      <c r="E30" s="3">
        <f t="shared" si="0"/>
        <v>3</v>
      </c>
      <c r="F30" s="4">
        <f t="shared" si="1"/>
        <v>18</v>
      </c>
      <c r="G30" s="4">
        <f t="shared" si="2"/>
        <v>3</v>
      </c>
    </row>
    <row r="31" spans="1:7" s="4" customFormat="1" ht="14.25" customHeight="1" x14ac:dyDescent="0.25">
      <c r="A31" s="34" t="s">
        <v>44</v>
      </c>
      <c r="B31" s="14" t="s">
        <v>15</v>
      </c>
      <c r="C31" s="33">
        <v>50.95</v>
      </c>
      <c r="D31" s="17">
        <v>0.85</v>
      </c>
      <c r="E31" s="3">
        <f t="shared" si="0"/>
        <v>1</v>
      </c>
      <c r="F31" s="4">
        <f t="shared" si="1"/>
        <v>6</v>
      </c>
      <c r="G31" s="4">
        <f t="shared" si="2"/>
        <v>1</v>
      </c>
    </row>
    <row r="32" spans="1:7" s="4" customFormat="1" ht="14.25" customHeight="1" x14ac:dyDescent="0.25">
      <c r="A32" s="34" t="s">
        <v>45</v>
      </c>
      <c r="B32" s="14" t="s">
        <v>16</v>
      </c>
      <c r="C32" s="33">
        <v>10.6</v>
      </c>
      <c r="D32" s="17">
        <v>0.9</v>
      </c>
      <c r="E32" s="3">
        <f t="shared" si="0"/>
        <v>1</v>
      </c>
      <c r="F32" s="4">
        <f t="shared" si="1"/>
        <v>6</v>
      </c>
      <c r="G32" s="4">
        <f t="shared" si="2"/>
        <v>1</v>
      </c>
    </row>
    <row r="33" spans="1:7" s="4" customFormat="1" ht="14.25" customHeight="1" x14ac:dyDescent="0.25">
      <c r="A33" s="34" t="s">
        <v>46</v>
      </c>
      <c r="B33" s="14" t="s">
        <v>391</v>
      </c>
      <c r="C33" s="33">
        <v>372.83</v>
      </c>
      <c r="D33" s="22">
        <v>0.9</v>
      </c>
      <c r="E33" s="3">
        <f t="shared" si="0"/>
        <v>3</v>
      </c>
      <c r="F33" s="4">
        <f t="shared" si="1"/>
        <v>18</v>
      </c>
      <c r="G33" s="4">
        <f t="shared" si="2"/>
        <v>3</v>
      </c>
    </row>
    <row r="34" spans="1:7" s="4" customFormat="1" ht="14.25" customHeight="1" x14ac:dyDescent="0.25">
      <c r="A34" s="34" t="s">
        <v>49</v>
      </c>
      <c r="B34" s="14" t="s">
        <v>391</v>
      </c>
      <c r="C34" s="33">
        <v>93</v>
      </c>
      <c r="D34" s="22">
        <v>0.9</v>
      </c>
      <c r="E34" s="3">
        <f t="shared" si="0"/>
        <v>2</v>
      </c>
      <c r="F34" s="4">
        <f t="shared" si="1"/>
        <v>12</v>
      </c>
      <c r="G34" s="4">
        <f t="shared" si="2"/>
        <v>2</v>
      </c>
    </row>
    <row r="35" spans="1:7" s="4" customFormat="1" ht="14.25" customHeight="1" x14ac:dyDescent="0.25">
      <c r="A35" s="34" t="s">
        <v>50</v>
      </c>
      <c r="B35" s="14" t="s">
        <v>385</v>
      </c>
      <c r="C35" s="33">
        <v>57.13</v>
      </c>
      <c r="D35" s="17">
        <v>0.9</v>
      </c>
      <c r="E35" s="3">
        <f t="shared" si="0"/>
        <v>2</v>
      </c>
      <c r="F35" s="4">
        <f t="shared" si="1"/>
        <v>12</v>
      </c>
      <c r="G35" s="4">
        <f t="shared" si="2"/>
        <v>2</v>
      </c>
    </row>
    <row r="36" spans="1:7" s="4" customFormat="1" ht="14.25" customHeight="1" x14ac:dyDescent="0.25">
      <c r="A36" s="34" t="s">
        <v>51</v>
      </c>
      <c r="B36" s="14" t="s">
        <v>391</v>
      </c>
      <c r="C36" s="33">
        <v>416</v>
      </c>
      <c r="D36" s="22">
        <v>0.9</v>
      </c>
      <c r="E36" s="3">
        <f t="shared" si="0"/>
        <v>3</v>
      </c>
      <c r="F36" s="4">
        <f t="shared" si="1"/>
        <v>18</v>
      </c>
      <c r="G36" s="4">
        <f t="shared" si="2"/>
        <v>3</v>
      </c>
    </row>
    <row r="37" spans="1:7" s="4" customFormat="1" ht="14.25" customHeight="1" x14ac:dyDescent="0.25">
      <c r="A37" s="34" t="s">
        <v>52</v>
      </c>
      <c r="B37" s="14" t="s">
        <v>391</v>
      </c>
      <c r="C37" s="33">
        <v>174.51000000000002</v>
      </c>
      <c r="D37" s="22">
        <v>0.9</v>
      </c>
      <c r="E37" s="3">
        <f t="shared" si="0"/>
        <v>2</v>
      </c>
      <c r="F37" s="4">
        <f t="shared" si="1"/>
        <v>12</v>
      </c>
      <c r="G37" s="4">
        <f t="shared" si="2"/>
        <v>2</v>
      </c>
    </row>
    <row r="38" spans="1:7" s="4" customFormat="1" ht="14.25" customHeight="1" x14ac:dyDescent="0.25">
      <c r="A38" s="34" t="s">
        <v>460</v>
      </c>
      <c r="B38" s="39" t="s">
        <v>462</v>
      </c>
      <c r="C38" s="10">
        <v>30</v>
      </c>
      <c r="D38" s="17">
        <v>0.89999999999999991</v>
      </c>
      <c r="E38" s="3">
        <f t="shared" si="0"/>
        <v>1</v>
      </c>
      <c r="F38" s="4">
        <f t="shared" si="1"/>
        <v>6</v>
      </c>
      <c r="G38" s="4">
        <f t="shared" si="2"/>
        <v>1</v>
      </c>
    </row>
    <row r="39" spans="1:7" s="4" customFormat="1" ht="14.25" customHeight="1" x14ac:dyDescent="0.25">
      <c r="A39" s="34" t="s">
        <v>461</v>
      </c>
      <c r="B39" s="39" t="s">
        <v>463</v>
      </c>
      <c r="C39" s="10">
        <v>35</v>
      </c>
      <c r="D39" s="17">
        <v>0.89999999999999991</v>
      </c>
      <c r="E39" s="3">
        <f t="shared" si="0"/>
        <v>1</v>
      </c>
      <c r="F39" s="4">
        <f t="shared" si="1"/>
        <v>6</v>
      </c>
      <c r="G39" s="4">
        <f t="shared" si="2"/>
        <v>1</v>
      </c>
    </row>
    <row r="40" spans="1:7" s="4" customFormat="1" ht="14.25" customHeight="1" x14ac:dyDescent="0.25">
      <c r="A40" s="34" t="s">
        <v>55</v>
      </c>
      <c r="B40" s="14" t="s">
        <v>59</v>
      </c>
      <c r="C40" s="33">
        <v>31.05</v>
      </c>
      <c r="D40" s="17">
        <v>1.046103896103896</v>
      </c>
      <c r="E40" s="3">
        <f t="shared" si="0"/>
        <v>1</v>
      </c>
      <c r="F40" s="4">
        <f t="shared" si="1"/>
        <v>6</v>
      </c>
      <c r="G40" s="4">
        <f t="shared" si="2"/>
        <v>1</v>
      </c>
    </row>
    <row r="41" spans="1:7" s="4" customFormat="1" ht="14.25" customHeight="1" x14ac:dyDescent="0.25">
      <c r="A41" s="34" t="s">
        <v>56</v>
      </c>
      <c r="B41" s="14" t="s">
        <v>59</v>
      </c>
      <c r="C41" s="33">
        <v>28.58</v>
      </c>
      <c r="D41" s="17">
        <v>1.046103896103896</v>
      </c>
      <c r="E41" s="3">
        <f t="shared" si="0"/>
        <v>1</v>
      </c>
      <c r="F41" s="4">
        <f t="shared" si="1"/>
        <v>6</v>
      </c>
      <c r="G41" s="4">
        <f t="shared" si="2"/>
        <v>1</v>
      </c>
    </row>
    <row r="42" spans="1:7" s="4" customFormat="1" ht="14.25" customHeight="1" x14ac:dyDescent="0.25">
      <c r="A42" s="34" t="s">
        <v>57</v>
      </c>
      <c r="B42" s="14" t="s">
        <v>60</v>
      </c>
      <c r="C42" s="33">
        <v>53.3</v>
      </c>
      <c r="D42" s="17">
        <v>0.9</v>
      </c>
      <c r="E42" s="3">
        <f t="shared" si="0"/>
        <v>2</v>
      </c>
      <c r="F42" s="4">
        <f t="shared" si="1"/>
        <v>12</v>
      </c>
      <c r="G42" s="4">
        <f t="shared" si="2"/>
        <v>2</v>
      </c>
    </row>
    <row r="43" spans="1:7" s="4" customFormat="1" ht="14.25" customHeight="1" x14ac:dyDescent="0.25">
      <c r="A43" s="34" t="s">
        <v>58</v>
      </c>
      <c r="B43" s="14" t="s">
        <v>61</v>
      </c>
      <c r="C43" s="33">
        <v>49.27</v>
      </c>
      <c r="D43" s="17">
        <v>0.98571428571428577</v>
      </c>
      <c r="E43" s="3">
        <f t="shared" si="0"/>
        <v>2</v>
      </c>
      <c r="F43" s="4">
        <f t="shared" si="1"/>
        <v>12</v>
      </c>
      <c r="G43" s="4">
        <f t="shared" si="2"/>
        <v>2</v>
      </c>
    </row>
    <row r="44" spans="1:7" ht="14.25" customHeight="1" x14ac:dyDescent="0.25">
      <c r="F44" s="3" t="s">
        <v>539</v>
      </c>
      <c r="G44" s="4">
        <f>SUM(G2:G43)</f>
        <v>71</v>
      </c>
    </row>
  </sheetData>
  <printOptions gridLines="1"/>
  <pageMargins left="1.1417322834645669" right="0.70866141732283472" top="1.0629921259842521" bottom="0.78740157480314965" header="0.59055118110236227" footer="0.31496062992125984"/>
  <pageSetup paperSize="9" orientation="portrait" horizontalDpi="300" verticalDpi="300" r:id="rId1"/>
  <headerFooter>
    <oddHeader>&amp;L&amp;A&amp;RTABULKA 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N411"/>
  <sheetViews>
    <sheetView workbookViewId="0">
      <pane ySplit="1" topLeftCell="A2" activePane="bottomLeft" state="frozen"/>
      <selection activeCell="C1" sqref="C1"/>
      <selection pane="bottomLeft" activeCell="D2" sqref="D2:D401"/>
    </sheetView>
  </sheetViews>
  <sheetFormatPr defaultRowHeight="14.25" customHeight="1" x14ac:dyDescent="0.25"/>
  <cols>
    <col min="1" max="1" width="9.140625" style="34"/>
    <col min="2" max="2" width="18" style="2" customWidth="1"/>
    <col min="3" max="4" width="9.140625" style="3"/>
    <col min="5" max="9" width="9.140625" style="4" customWidth="1"/>
    <col min="10" max="10" width="9.140625" style="11" customWidth="1"/>
    <col min="11" max="11" width="9.140625" style="4" customWidth="1"/>
    <col min="12" max="21" width="7.7109375" style="4" customWidth="1"/>
    <col min="22" max="22" width="9.140625" style="7" customWidth="1"/>
    <col min="23" max="23" width="9.140625" style="6" customWidth="1"/>
    <col min="24" max="24" width="9.140625" style="11" customWidth="1"/>
    <col min="25" max="25" width="11.85546875" style="8" customWidth="1"/>
    <col min="26" max="26" width="9.140625" style="8" customWidth="1"/>
    <col min="27" max="27" width="9.140625" style="7" customWidth="1"/>
    <col min="28" max="28" width="9.140625" style="4" customWidth="1"/>
    <col min="29" max="29" width="9.140625" style="10" customWidth="1"/>
    <col min="30" max="30" width="9.140625" style="9" customWidth="1"/>
    <col min="31" max="33" width="9.140625" style="3"/>
    <col min="34" max="36" width="11.140625" style="3" customWidth="1"/>
    <col min="37" max="38" width="12.85546875" style="3" customWidth="1"/>
    <col min="39" max="40" width="11.140625" style="3" customWidth="1"/>
  </cols>
  <sheetData>
    <row r="1" spans="1:40" s="30" customFormat="1" ht="35.25" customHeight="1" x14ac:dyDescent="0.25">
      <c r="A1" s="36" t="s">
        <v>53</v>
      </c>
      <c r="B1" s="36" t="s">
        <v>54</v>
      </c>
      <c r="C1" s="23" t="s">
        <v>406</v>
      </c>
      <c r="D1" s="23" t="s">
        <v>415</v>
      </c>
      <c r="E1" s="23" t="s">
        <v>388</v>
      </c>
      <c r="F1" s="23" t="s">
        <v>395</v>
      </c>
      <c r="G1" s="23" t="s">
        <v>386</v>
      </c>
      <c r="H1" s="23" t="s">
        <v>387</v>
      </c>
      <c r="I1" s="23" t="s">
        <v>396</v>
      </c>
      <c r="J1" s="24" t="s">
        <v>390</v>
      </c>
      <c r="K1" s="23" t="s">
        <v>402</v>
      </c>
      <c r="L1" s="23" t="s">
        <v>468</v>
      </c>
      <c r="M1" s="23" t="s">
        <v>469</v>
      </c>
      <c r="N1" s="23" t="s">
        <v>470</v>
      </c>
      <c r="O1" s="23" t="s">
        <v>471</v>
      </c>
      <c r="P1" s="23" t="s">
        <v>472</v>
      </c>
      <c r="Q1" s="23" t="s">
        <v>473</v>
      </c>
      <c r="R1" s="23" t="s">
        <v>474</v>
      </c>
      <c r="S1" s="23" t="s">
        <v>475</v>
      </c>
      <c r="T1" s="23" t="s">
        <v>479</v>
      </c>
      <c r="U1" s="23" t="s">
        <v>480</v>
      </c>
      <c r="V1" s="25" t="s">
        <v>398</v>
      </c>
      <c r="W1" s="26" t="s">
        <v>399</v>
      </c>
      <c r="X1" s="27" t="s">
        <v>400</v>
      </c>
      <c r="Y1" s="28" t="s">
        <v>401</v>
      </c>
      <c r="Z1" s="28" t="s">
        <v>397</v>
      </c>
      <c r="AA1" s="25" t="s">
        <v>393</v>
      </c>
      <c r="AB1" s="23" t="s">
        <v>394</v>
      </c>
      <c r="AC1" s="29" t="s">
        <v>389</v>
      </c>
      <c r="AD1" s="24" t="s">
        <v>410</v>
      </c>
      <c r="AE1" s="23" t="s">
        <v>412</v>
      </c>
      <c r="AF1" s="23" t="s">
        <v>415</v>
      </c>
      <c r="AG1" s="23" t="s">
        <v>446</v>
      </c>
      <c r="AH1" s="23" t="s">
        <v>448</v>
      </c>
      <c r="AI1" s="23" t="s">
        <v>452</v>
      </c>
      <c r="AJ1" s="23" t="s">
        <v>451</v>
      </c>
      <c r="AK1" s="23" t="s">
        <v>454</v>
      </c>
      <c r="AL1" s="23" t="s">
        <v>453</v>
      </c>
      <c r="AM1" s="23" t="s">
        <v>449</v>
      </c>
      <c r="AN1" s="23"/>
    </row>
    <row r="2" spans="1:40" ht="14.25" customHeight="1" x14ac:dyDescent="0.25">
      <c r="A2" s="35" t="s">
        <v>0</v>
      </c>
      <c r="B2" s="14" t="s">
        <v>10</v>
      </c>
      <c r="C2" s="33">
        <f>+C3</f>
        <v>41.71</v>
      </c>
      <c r="D2" s="15" t="s">
        <v>421</v>
      </c>
      <c r="E2" s="16">
        <v>1.1000000000000001</v>
      </c>
      <c r="F2" s="16">
        <v>0.9</v>
      </c>
      <c r="G2" s="16">
        <v>15</v>
      </c>
      <c r="H2" s="16">
        <v>5</v>
      </c>
      <c r="I2" s="16">
        <f>+G2+H2</f>
        <v>20</v>
      </c>
      <c r="J2" s="17">
        <f>+(G2*E2+H2*F2)/(G2+H2)</f>
        <v>1.05</v>
      </c>
      <c r="K2" s="15">
        <v>41</v>
      </c>
      <c r="L2" s="15">
        <v>0</v>
      </c>
      <c r="M2" s="15">
        <v>0</v>
      </c>
      <c r="N2" s="15">
        <v>0</v>
      </c>
      <c r="O2" s="15">
        <v>0</v>
      </c>
      <c r="P2" s="15">
        <v>0</v>
      </c>
      <c r="Q2" s="15">
        <v>0</v>
      </c>
      <c r="R2" s="15">
        <v>0</v>
      </c>
      <c r="S2" s="15">
        <v>0</v>
      </c>
      <c r="T2" s="15">
        <v>0</v>
      </c>
      <c r="U2" s="15">
        <v>0</v>
      </c>
      <c r="V2" s="18">
        <f>+(L2*Otvory!D$1+M2*Otvory!D$2+N2*Otvory!D$3+O2*Otvory!D$4+P2*Otvory!D$5+Q2*Otvory!D$6+R2*Otvory!D$7+S2*Otvory!D$8+T2*Otvory!D$9+U2*Otvory!D$10)</f>
        <v>0</v>
      </c>
      <c r="W2" s="18">
        <v>0</v>
      </c>
      <c r="X2" s="17">
        <v>2.8</v>
      </c>
      <c r="Y2" s="19">
        <v>5.0000000000000001E-3</v>
      </c>
      <c r="Z2" s="19">
        <v>1.2E-2</v>
      </c>
      <c r="AA2" s="20">
        <f>Z2/0.005/SQRT(X2)</f>
        <v>1.4342743312012722</v>
      </c>
      <c r="AB2" s="16">
        <v>1</v>
      </c>
      <c r="AC2" s="21">
        <f>+I2*J2*AA2*AB2</f>
        <v>30.119760955226717</v>
      </c>
      <c r="AD2" s="17" t="s">
        <v>481</v>
      </c>
      <c r="AE2" s="15" t="s">
        <v>408</v>
      </c>
      <c r="AF2" s="15" t="s">
        <v>413</v>
      </c>
      <c r="AG2" s="15" t="s">
        <v>447</v>
      </c>
      <c r="AH2" s="3" t="s">
        <v>450</v>
      </c>
      <c r="AI2" s="3" t="s">
        <v>450</v>
      </c>
      <c r="AJ2" s="3" t="s">
        <v>450</v>
      </c>
      <c r="AK2" s="15" t="s">
        <v>450</v>
      </c>
      <c r="AL2" s="3" t="s">
        <v>450</v>
      </c>
      <c r="AM2" s="3" t="s">
        <v>450</v>
      </c>
    </row>
    <row r="3" spans="1:40" ht="14.25" hidden="1" customHeight="1" x14ac:dyDescent="0.25">
      <c r="A3" s="1"/>
      <c r="B3" s="2" t="s">
        <v>62</v>
      </c>
      <c r="C3">
        <v>41.71</v>
      </c>
      <c r="D3"/>
    </row>
    <row r="4" spans="1:40" ht="14.25" hidden="1" customHeight="1" x14ac:dyDescent="0.25">
      <c r="A4" s="1"/>
      <c r="C4"/>
      <c r="D4"/>
    </row>
    <row r="5" spans="1:40" ht="14.25" customHeight="1" x14ac:dyDescent="0.25">
      <c r="A5" s="35" t="s">
        <v>1</v>
      </c>
      <c r="B5" s="14" t="s">
        <v>11</v>
      </c>
      <c r="C5" s="33">
        <f>+C6</f>
        <v>22</v>
      </c>
      <c r="D5" s="15" t="s">
        <v>422</v>
      </c>
      <c r="E5" s="16">
        <v>0.5</v>
      </c>
      <c r="F5" s="16">
        <v>0.9</v>
      </c>
      <c r="G5" s="16">
        <v>5</v>
      </c>
      <c r="H5" s="16">
        <v>0</v>
      </c>
      <c r="I5" s="16">
        <f>+G5+H5</f>
        <v>5</v>
      </c>
      <c r="J5" s="17">
        <f>+(G5*E5+H5*F5)/(G5+H5)</f>
        <v>0.5</v>
      </c>
      <c r="K5" s="15">
        <v>22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8">
        <f>+(L5*Otvory!D$1+M5*Otvory!D$2+N5*Otvory!D$3+O5*Otvory!D$4+P5*Otvory!D$5+Q5*Otvory!D$6+R5*Otvory!D$7+S5*Otvory!D$8+T5*Otvory!D$9+U5*Otvory!D$10)</f>
        <v>0</v>
      </c>
      <c r="W5" s="18">
        <v>0</v>
      </c>
      <c r="X5" s="17">
        <v>2.8</v>
      </c>
      <c r="Y5" s="19">
        <v>5.0000000000000001E-3</v>
      </c>
      <c r="Z5" s="19">
        <v>8.9999999999999993E-3</v>
      </c>
      <c r="AA5" s="20">
        <f>Z5/0.005/SQRT(X5)</f>
        <v>1.0757057484009542</v>
      </c>
      <c r="AB5" s="16">
        <v>1</v>
      </c>
      <c r="AC5" s="21">
        <f>+I5*J5*AA5*AB5</f>
        <v>2.6892643710023858</v>
      </c>
      <c r="AD5" s="17" t="s">
        <v>481</v>
      </c>
      <c r="AE5" s="15" t="s">
        <v>408</v>
      </c>
      <c r="AF5" s="15" t="s">
        <v>414</v>
      </c>
      <c r="AG5" s="15" t="s">
        <v>447</v>
      </c>
      <c r="AH5" s="3" t="s">
        <v>450</v>
      </c>
      <c r="AI5" s="3" t="s">
        <v>450</v>
      </c>
      <c r="AJ5" s="3" t="s">
        <v>450</v>
      </c>
      <c r="AK5" s="15" t="s">
        <v>450</v>
      </c>
      <c r="AL5" s="3" t="s">
        <v>450</v>
      </c>
      <c r="AM5" s="3" t="s">
        <v>450</v>
      </c>
    </row>
    <row r="6" spans="1:40" ht="14.25" hidden="1" customHeight="1" x14ac:dyDescent="0.25">
      <c r="A6" s="1"/>
      <c r="B6" s="2" t="s">
        <v>63</v>
      </c>
      <c r="C6">
        <v>22</v>
      </c>
      <c r="D6"/>
    </row>
    <row r="7" spans="1:40" ht="14.25" hidden="1" customHeight="1" x14ac:dyDescent="0.25">
      <c r="A7" s="1"/>
      <c r="C7"/>
      <c r="D7"/>
    </row>
    <row r="8" spans="1:40" ht="14.25" customHeight="1" x14ac:dyDescent="0.25">
      <c r="A8" s="35" t="s">
        <v>2</v>
      </c>
      <c r="B8" s="14" t="s">
        <v>12</v>
      </c>
      <c r="C8" s="33">
        <f>+C9</f>
        <v>28</v>
      </c>
      <c r="D8" s="15" t="s">
        <v>423</v>
      </c>
      <c r="E8" s="16">
        <v>0.9</v>
      </c>
      <c r="F8" s="16">
        <v>0.9</v>
      </c>
      <c r="G8" s="16">
        <v>40</v>
      </c>
      <c r="H8" s="16">
        <v>0</v>
      </c>
      <c r="I8" s="16">
        <f>+G8+H8</f>
        <v>40</v>
      </c>
      <c r="J8" s="17">
        <f>+(G8*E8+H8*F8)/(G8+H8)</f>
        <v>0.9</v>
      </c>
      <c r="K8" s="15">
        <v>28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8">
        <f>+(L8*Otvory!D$1+M8*Otvory!D$2+N8*Otvory!D$3+O8*Otvory!D$4+P8*Otvory!D$5+Q8*Otvory!D$6+R8*Otvory!D$7+S8*Otvory!D$8+T8*Otvory!D$9+U8*Otvory!D$10)</f>
        <v>0</v>
      </c>
      <c r="W8" s="18">
        <v>0</v>
      </c>
      <c r="X8" s="17">
        <v>2.8</v>
      </c>
      <c r="Y8" s="19">
        <v>5.0000000000000001E-3</v>
      </c>
      <c r="Z8" s="19">
        <v>1.0999999999999999E-2</v>
      </c>
      <c r="AA8" s="20">
        <f>Z8/0.005/SQRT(X8)</f>
        <v>1.3147514702678329</v>
      </c>
      <c r="AB8" s="16">
        <v>1</v>
      </c>
      <c r="AC8" s="21">
        <f>+I8*J8*AA8*AB8</f>
        <v>47.331052929641984</v>
      </c>
      <c r="AD8" s="17" t="s">
        <v>481</v>
      </c>
      <c r="AE8" s="15" t="s">
        <v>408</v>
      </c>
      <c r="AF8" s="15" t="s">
        <v>416</v>
      </c>
      <c r="AG8" s="15" t="s">
        <v>447</v>
      </c>
      <c r="AH8" s="3" t="s">
        <v>450</v>
      </c>
      <c r="AI8" s="3" t="s">
        <v>450</v>
      </c>
      <c r="AJ8" s="3" t="s">
        <v>450</v>
      </c>
      <c r="AK8" s="15" t="s">
        <v>450</v>
      </c>
      <c r="AL8" s="3" t="s">
        <v>450</v>
      </c>
      <c r="AM8" s="3" t="s">
        <v>450</v>
      </c>
    </row>
    <row r="9" spans="1:40" ht="14.25" hidden="1" customHeight="1" x14ac:dyDescent="0.25">
      <c r="A9" s="1"/>
      <c r="B9" s="2" t="s">
        <v>64</v>
      </c>
      <c r="C9">
        <v>28</v>
      </c>
      <c r="D9"/>
    </row>
    <row r="10" spans="1:40" ht="14.25" hidden="1" customHeight="1" x14ac:dyDescent="0.25">
      <c r="A10" s="1"/>
      <c r="C10"/>
      <c r="D10"/>
    </row>
    <row r="11" spans="1:40" ht="14.25" customHeight="1" x14ac:dyDescent="0.25">
      <c r="A11" s="35" t="s">
        <v>3</v>
      </c>
      <c r="B11" s="14" t="s">
        <v>13</v>
      </c>
      <c r="C11" s="33">
        <f>SUM(C12:C29)</f>
        <v>169.53</v>
      </c>
      <c r="D11" s="15" t="s">
        <v>458</v>
      </c>
      <c r="E11" s="16">
        <v>1</v>
      </c>
      <c r="F11" s="16">
        <v>0.9</v>
      </c>
      <c r="G11" s="16">
        <v>50</v>
      </c>
      <c r="H11" s="16">
        <v>5</v>
      </c>
      <c r="I11" s="16">
        <f>+G11+H11</f>
        <v>55</v>
      </c>
      <c r="J11" s="17">
        <f>+(G11*E11+H11*F11)/(G11+H11)</f>
        <v>0.99090909090909096</v>
      </c>
      <c r="K11" s="15">
        <v>48</v>
      </c>
      <c r="L11" s="15">
        <v>17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8">
        <f>+(L11*Otvory!D$1+M11*Otvory!D$2+N11*Otvory!D$3+O11*Otvory!D$4+P11*Otvory!D$5+Q11*Otvory!D$6+R11*Otvory!D$7+S11*Otvory!D$8+T11*Otvory!D$9+U11*Otvory!D$10)</f>
        <v>22.950000000000003</v>
      </c>
      <c r="W11" s="18">
        <f>+(L11*Otvory!D$1*Otvory!C$1+M11*Otvory!D$2*Otvory!C$2+N11*Otvory!D$3*Otvory!C$3+O11*Otvory!D$4*Otvory!C$4+P11*Otvory!D$5*Otvory!C$5)/V11</f>
        <v>1.5</v>
      </c>
      <c r="X11" s="17">
        <v>2.8</v>
      </c>
      <c r="Y11" s="19">
        <f>SQRT(W11/X11) * V11/C11</f>
        <v>9.9083820006055756E-2</v>
      </c>
      <c r="Z11" s="19">
        <v>0.129</v>
      </c>
      <c r="AA11" s="20">
        <f>+C11*Z11/(L11*Otvory!D$1*SQRT(Otvory!C$1)+M11*Otvory!D$2*SQRT(Otvory!C$2)+N11*Otvory!D$3*SQRT(Otvory!C$3)+O11*Otvory!D$4*SQRT(Otvory!C$4)+P11*Otvory!D$5*SQRT(Otvory!C$5))</f>
        <v>0.7780507987818468</v>
      </c>
      <c r="AB11" s="16">
        <v>1</v>
      </c>
      <c r="AC11" s="21">
        <f>+I11*J11*AA11*AB11</f>
        <v>42.403768533610652</v>
      </c>
      <c r="AD11" s="17">
        <v>3.4</v>
      </c>
      <c r="AE11" s="15" t="s">
        <v>409</v>
      </c>
      <c r="AF11" s="15" t="s">
        <v>413</v>
      </c>
      <c r="AG11" s="15" t="s">
        <v>447</v>
      </c>
      <c r="AH11" s="3" t="s">
        <v>450</v>
      </c>
      <c r="AI11" s="13" t="s">
        <v>455</v>
      </c>
      <c r="AJ11" s="3" t="s">
        <v>450</v>
      </c>
      <c r="AK11" s="15" t="s">
        <v>450</v>
      </c>
      <c r="AL11" s="3" t="s">
        <v>450</v>
      </c>
      <c r="AM11" s="3" t="s">
        <v>450</v>
      </c>
    </row>
    <row r="12" spans="1:40" ht="14.25" hidden="1" customHeight="1" x14ac:dyDescent="0.25">
      <c r="A12" s="1"/>
      <c r="B12" s="2" t="s">
        <v>65</v>
      </c>
      <c r="C12">
        <v>3.55</v>
      </c>
      <c r="D12"/>
    </row>
    <row r="13" spans="1:40" ht="14.25" hidden="1" customHeight="1" x14ac:dyDescent="0.25">
      <c r="A13" s="1"/>
      <c r="B13" s="2" t="s">
        <v>66</v>
      </c>
      <c r="C13">
        <v>4.1900000000000004</v>
      </c>
      <c r="D13"/>
    </row>
    <row r="14" spans="1:40" ht="14.25" hidden="1" customHeight="1" x14ac:dyDescent="0.25">
      <c r="A14" s="1"/>
      <c r="B14" s="2" t="s">
        <v>67</v>
      </c>
      <c r="C14">
        <v>23.37</v>
      </c>
      <c r="D14"/>
    </row>
    <row r="15" spans="1:40" ht="14.25" hidden="1" customHeight="1" x14ac:dyDescent="0.25">
      <c r="A15" s="1"/>
      <c r="B15" s="2" t="s">
        <v>68</v>
      </c>
      <c r="C15">
        <v>1.78</v>
      </c>
      <c r="D15"/>
    </row>
    <row r="16" spans="1:40" ht="14.25" hidden="1" customHeight="1" x14ac:dyDescent="0.25">
      <c r="A16" s="1"/>
      <c r="B16" s="2" t="s">
        <v>69</v>
      </c>
      <c r="C16">
        <v>48.11</v>
      </c>
      <c r="D16"/>
    </row>
    <row r="17" spans="1:39" ht="14.25" hidden="1" customHeight="1" x14ac:dyDescent="0.25">
      <c r="A17" s="1"/>
      <c r="B17" s="2" t="s">
        <v>70</v>
      </c>
      <c r="C17">
        <v>3.84</v>
      </c>
      <c r="D17"/>
    </row>
    <row r="18" spans="1:39" ht="14.25" hidden="1" customHeight="1" x14ac:dyDescent="0.25">
      <c r="A18" s="1"/>
      <c r="B18" s="2" t="s">
        <v>71</v>
      </c>
      <c r="C18">
        <v>5.82</v>
      </c>
      <c r="D18"/>
    </row>
    <row r="19" spans="1:39" ht="14.25" hidden="1" customHeight="1" x14ac:dyDescent="0.25">
      <c r="A19" s="1"/>
      <c r="B19" s="2" t="s">
        <v>72</v>
      </c>
      <c r="C19">
        <v>2.29</v>
      </c>
      <c r="D19"/>
    </row>
    <row r="20" spans="1:39" ht="14.25" hidden="1" customHeight="1" x14ac:dyDescent="0.25">
      <c r="A20" s="1"/>
      <c r="B20" s="2" t="s">
        <v>73</v>
      </c>
      <c r="C20">
        <v>16.82</v>
      </c>
      <c r="D20"/>
      <c r="W20" s="12"/>
    </row>
    <row r="21" spans="1:39" ht="14.25" hidden="1" customHeight="1" x14ac:dyDescent="0.25">
      <c r="A21" s="1"/>
      <c r="B21" s="2" t="s">
        <v>74</v>
      </c>
      <c r="C21">
        <v>3.27</v>
      </c>
      <c r="D21"/>
    </row>
    <row r="22" spans="1:39" ht="14.25" hidden="1" customHeight="1" x14ac:dyDescent="0.25">
      <c r="A22" s="1"/>
      <c r="B22" s="2" t="s">
        <v>75</v>
      </c>
      <c r="C22">
        <v>3.8</v>
      </c>
      <c r="D22"/>
    </row>
    <row r="23" spans="1:39" ht="14.25" hidden="1" customHeight="1" x14ac:dyDescent="0.25">
      <c r="A23" s="1"/>
      <c r="B23" s="2" t="s">
        <v>76</v>
      </c>
      <c r="C23">
        <v>11.32</v>
      </c>
      <c r="D23"/>
    </row>
    <row r="24" spans="1:39" ht="14.25" hidden="1" customHeight="1" x14ac:dyDescent="0.25">
      <c r="A24" s="1"/>
      <c r="B24" s="2" t="s">
        <v>77</v>
      </c>
      <c r="C24">
        <v>3.49</v>
      </c>
      <c r="D24"/>
    </row>
    <row r="25" spans="1:39" ht="14.25" hidden="1" customHeight="1" x14ac:dyDescent="0.25">
      <c r="A25" s="1"/>
      <c r="B25" s="2" t="s">
        <v>78</v>
      </c>
      <c r="C25">
        <v>1.72</v>
      </c>
      <c r="D25"/>
    </row>
    <row r="26" spans="1:39" ht="14.25" hidden="1" customHeight="1" x14ac:dyDescent="0.25">
      <c r="A26" s="1"/>
      <c r="B26" s="2" t="s">
        <v>79</v>
      </c>
      <c r="C26">
        <v>6.47</v>
      </c>
      <c r="D26"/>
    </row>
    <row r="27" spans="1:39" ht="14.25" hidden="1" customHeight="1" x14ac:dyDescent="0.25">
      <c r="A27" s="1"/>
      <c r="B27" s="2" t="s">
        <v>80</v>
      </c>
      <c r="C27">
        <v>3.68</v>
      </c>
      <c r="D27"/>
    </row>
    <row r="28" spans="1:39" ht="14.25" hidden="1" customHeight="1" x14ac:dyDescent="0.25">
      <c r="A28" s="1"/>
      <c r="B28" s="2" t="s">
        <v>81</v>
      </c>
      <c r="C28">
        <v>5.42</v>
      </c>
      <c r="D28"/>
    </row>
    <row r="29" spans="1:39" ht="14.25" hidden="1" customHeight="1" x14ac:dyDescent="0.25">
      <c r="A29" s="1"/>
      <c r="B29" s="2" t="s">
        <v>83</v>
      </c>
      <c r="C29">
        <v>20.59</v>
      </c>
      <c r="D29"/>
    </row>
    <row r="30" spans="1:39" ht="14.25" hidden="1" customHeight="1" x14ac:dyDescent="0.25">
      <c r="A30" s="1"/>
      <c r="C30"/>
      <c r="D30"/>
    </row>
    <row r="31" spans="1:39" ht="14.25" customHeight="1" x14ac:dyDescent="0.25">
      <c r="A31" s="35" t="s">
        <v>4</v>
      </c>
      <c r="B31" s="14" t="s">
        <v>14</v>
      </c>
      <c r="C31" s="33">
        <f>+C32</f>
        <v>20.68</v>
      </c>
      <c r="D31" s="15" t="s">
        <v>425</v>
      </c>
      <c r="E31" s="16">
        <v>0.7</v>
      </c>
      <c r="F31" s="16">
        <v>0.9</v>
      </c>
      <c r="G31" s="16">
        <v>120</v>
      </c>
      <c r="H31" s="16">
        <v>5</v>
      </c>
      <c r="I31" s="16">
        <f>+G31+H31</f>
        <v>125</v>
      </c>
      <c r="J31" s="17">
        <f>+(G31*E31+H31*F31)/(G31+H31)</f>
        <v>0.70799999999999996</v>
      </c>
      <c r="K31" s="15">
        <v>21</v>
      </c>
      <c r="L31" s="15">
        <v>3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8">
        <f>+(L31*Otvory!D$1+M31*Otvory!D$2+N31*Otvory!D$3+O31*Otvory!D$4+P31*Otvory!D$5+Q31*Otvory!D$6+R31*Otvory!D$7+S31*Otvory!D$8+T31*Otvory!D$9+U31*Otvory!D$10)</f>
        <v>4.0500000000000007</v>
      </c>
      <c r="W31" s="18">
        <f>+(L31*Otvory!D$1*Otvory!C$1+M31*Otvory!D$2*Otvory!C$2+N31*Otvory!D$3*Otvory!C$3+O31*Otvory!D$4*Otvory!C$4+P31*Otvory!D$5*Otvory!C$5)/V31</f>
        <v>1.5</v>
      </c>
      <c r="X31" s="17">
        <v>2.8</v>
      </c>
      <c r="Y31" s="19">
        <f>SQRT(W31/X31) * V31/C31</f>
        <v>0.14334122203003724</v>
      </c>
      <c r="Z31" s="19">
        <v>0.16600000000000001</v>
      </c>
      <c r="AA31" s="20">
        <f>+C31*Z31/(L31*Otvory!D$1*SQRT(Otvory!C$1)+M31*Otvory!D$2*SQRT(Otvory!C$2)+N31*Otvory!D$3*SQRT(Otvory!C$3)+O31*Otvory!D$4*SQRT(Otvory!C$4)+P31*Otvory!D$5*SQRT(Otvory!C$5))</f>
        <v>0.69208266240374605</v>
      </c>
      <c r="AB31" s="16">
        <v>1</v>
      </c>
      <c r="AC31" s="21">
        <f>+I31*J31*AA31*AB31</f>
        <v>61.249315622731523</v>
      </c>
      <c r="AD31" s="17">
        <v>3.4</v>
      </c>
      <c r="AE31" s="15" t="s">
        <v>411</v>
      </c>
      <c r="AF31" s="15" t="s">
        <v>418</v>
      </c>
      <c r="AG31" s="15" t="s">
        <v>447</v>
      </c>
      <c r="AH31" s="13" t="s">
        <v>455</v>
      </c>
      <c r="AI31" s="13" t="s">
        <v>455</v>
      </c>
      <c r="AJ31" s="13" t="s">
        <v>455</v>
      </c>
      <c r="AK31" s="15" t="s">
        <v>450</v>
      </c>
      <c r="AL31" s="3" t="s">
        <v>450</v>
      </c>
      <c r="AM31" s="3" t="s">
        <v>450</v>
      </c>
    </row>
    <row r="32" spans="1:39" ht="14.25" hidden="1" customHeight="1" x14ac:dyDescent="0.25">
      <c r="A32" s="1"/>
      <c r="B32" s="2" t="s">
        <v>82</v>
      </c>
      <c r="C32">
        <v>20.68</v>
      </c>
      <c r="D32"/>
    </row>
    <row r="33" spans="1:40" ht="14.25" hidden="1" customHeight="1" x14ac:dyDescent="0.25">
      <c r="A33" s="1"/>
      <c r="C33"/>
      <c r="D33"/>
    </row>
    <row r="34" spans="1:40" s="44" customFormat="1" ht="14.25" customHeight="1" x14ac:dyDescent="0.25">
      <c r="A34" s="35" t="s">
        <v>5</v>
      </c>
      <c r="B34" s="14" t="s">
        <v>15</v>
      </c>
      <c r="C34" s="33">
        <f>SUM(C35:C37)</f>
        <v>49.63</v>
      </c>
      <c r="D34" s="15" t="s">
        <v>433</v>
      </c>
      <c r="E34" s="16">
        <v>0.8</v>
      </c>
      <c r="F34" s="16">
        <v>0.9</v>
      </c>
      <c r="G34" s="16">
        <v>5</v>
      </c>
      <c r="H34" s="16">
        <v>5</v>
      </c>
      <c r="I34" s="16">
        <f>+G34+H34</f>
        <v>10</v>
      </c>
      <c r="J34" s="17">
        <f>+(G34*E34+H34*F34)/(G34+H34)</f>
        <v>0.85</v>
      </c>
      <c r="K34" s="15">
        <v>26</v>
      </c>
      <c r="L34" s="15">
        <v>2</v>
      </c>
      <c r="M34" s="15">
        <v>0</v>
      </c>
      <c r="N34" s="15">
        <v>0</v>
      </c>
      <c r="O34" s="15">
        <v>0</v>
      </c>
      <c r="P34" s="15">
        <v>1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8">
        <f>+(L34*Otvory!D$1+M34*Otvory!D$2+N34*Otvory!D$3+O34*Otvory!D$4+P34*Otvory!D$5+Q34*Otvory!D$6+R34*Otvory!D$7+S34*Otvory!D$8+T34*Otvory!D$9+U34*Otvory!D$10)</f>
        <v>6.84</v>
      </c>
      <c r="W34" s="18">
        <f>+(L34*Otvory!D$1*Otvory!C$1+M34*Otvory!D$2*Otvory!C$2+N34*Otvory!D$3*Otvory!C$3+O34*Otvory!D$4*Otvory!C$4+P34*Otvory!D$5*Otvory!C$5)/V34</f>
        <v>1.9842105263157894</v>
      </c>
      <c r="X34" s="17">
        <v>2.8</v>
      </c>
      <c r="Y34" s="19">
        <f>SQRT(W34/X34) * V34/C34</f>
        <v>0.11601835021110199</v>
      </c>
      <c r="Z34" s="19">
        <v>0.16</v>
      </c>
      <c r="AA34" s="20">
        <f>+C34*Z34/(L34*Otvory!D$1*SQRT(Otvory!C$1)+M34*Otvory!D$2*SQRT(Otvory!C$2)+N34*Otvory!D$3*SQRT(Otvory!C$3)+O34*Otvory!D$4*SQRT(Otvory!C$4)+P34*Otvory!D$5*SQRT(Otvory!C$5))</f>
        <v>0.82842379801699784</v>
      </c>
      <c r="AB34" s="16">
        <v>1</v>
      </c>
      <c r="AC34" s="21">
        <f>+I34*J34*AA34*AB34</f>
        <v>7.0416022831444813</v>
      </c>
      <c r="AD34" s="17">
        <v>3.4</v>
      </c>
      <c r="AE34" s="15" t="s">
        <v>408</v>
      </c>
      <c r="AF34" s="15" t="s">
        <v>482</v>
      </c>
      <c r="AG34" s="15" t="s">
        <v>447</v>
      </c>
      <c r="AH34" s="15" t="s">
        <v>450</v>
      </c>
      <c r="AI34" s="15" t="s">
        <v>450</v>
      </c>
      <c r="AJ34" s="15" t="s">
        <v>450</v>
      </c>
      <c r="AK34" s="15" t="s">
        <v>450</v>
      </c>
      <c r="AL34" s="15" t="s">
        <v>450</v>
      </c>
      <c r="AM34" s="15" t="s">
        <v>450</v>
      </c>
      <c r="AN34" s="15"/>
    </row>
    <row r="35" spans="1:40" ht="14.25" hidden="1" customHeight="1" x14ac:dyDescent="0.25">
      <c r="A35" s="1"/>
      <c r="B35" s="2" t="s">
        <v>84</v>
      </c>
      <c r="C35">
        <v>7.72</v>
      </c>
      <c r="D35"/>
    </row>
    <row r="36" spans="1:40" ht="14.25" hidden="1" customHeight="1" x14ac:dyDescent="0.25">
      <c r="A36" s="1"/>
      <c r="B36" s="2" t="s">
        <v>85</v>
      </c>
      <c r="C36">
        <v>26.1</v>
      </c>
      <c r="D36"/>
    </row>
    <row r="37" spans="1:40" ht="14.25" hidden="1" customHeight="1" x14ac:dyDescent="0.25">
      <c r="A37" s="1"/>
      <c r="B37" s="2" t="s">
        <v>127</v>
      </c>
      <c r="C37">
        <v>15.81</v>
      </c>
      <c r="D37"/>
    </row>
    <row r="38" spans="1:40" ht="14.25" hidden="1" customHeight="1" x14ac:dyDescent="0.25">
      <c r="A38" s="1"/>
      <c r="C38"/>
      <c r="D38"/>
    </row>
    <row r="39" spans="1:40" ht="14.25" customHeight="1" x14ac:dyDescent="0.25">
      <c r="A39" s="35" t="s">
        <v>6</v>
      </c>
      <c r="B39" s="14" t="s">
        <v>16</v>
      </c>
      <c r="C39" s="33">
        <f>+C40</f>
        <v>10.6</v>
      </c>
      <c r="D39" s="15" t="s">
        <v>424</v>
      </c>
      <c r="E39" s="16">
        <v>0.9</v>
      </c>
      <c r="F39" s="16">
        <v>0.9</v>
      </c>
      <c r="G39" s="16">
        <v>15</v>
      </c>
      <c r="H39" s="16">
        <v>2</v>
      </c>
      <c r="I39" s="16">
        <f>+G39+H39</f>
        <v>17</v>
      </c>
      <c r="J39" s="17">
        <f>+(G39*E39+H39*F39)/(G39+H39)</f>
        <v>0.9</v>
      </c>
      <c r="K39" s="15">
        <v>10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8">
        <f>+(L39*Otvory!D$1+M39*Otvory!D$2+N39*Otvory!D$3+O39*Otvory!D$4+P39*Otvory!D$5+Q39*Otvory!D$6+R39*Otvory!D$7+S39*Otvory!D$8+T39*Otvory!D$9+U39*Otvory!D$10)</f>
        <v>0</v>
      </c>
      <c r="W39" s="18">
        <v>0</v>
      </c>
      <c r="X39" s="17">
        <v>2.8</v>
      </c>
      <c r="Y39" s="19">
        <v>5.0000000000000001E-3</v>
      </c>
      <c r="Z39" s="19">
        <v>7.0000000000000001E-3</v>
      </c>
      <c r="AA39" s="20">
        <f>Z39/0.005/SQRT(X39)</f>
        <v>0.83666002653407545</v>
      </c>
      <c r="AB39" s="16">
        <v>1</v>
      </c>
      <c r="AC39" s="21">
        <f>+I39*J39*AA39*AB39</f>
        <v>12.800898405971354</v>
      </c>
      <c r="AD39" s="17">
        <v>3.4</v>
      </c>
      <c r="AE39" s="15" t="s">
        <v>408</v>
      </c>
      <c r="AF39" s="15" t="s">
        <v>416</v>
      </c>
      <c r="AG39" s="15" t="s">
        <v>447</v>
      </c>
      <c r="AH39" s="3" t="s">
        <v>450</v>
      </c>
      <c r="AI39" s="3" t="s">
        <v>450</v>
      </c>
      <c r="AJ39" s="3" t="s">
        <v>450</v>
      </c>
      <c r="AK39" s="15" t="s">
        <v>450</v>
      </c>
      <c r="AL39" s="3" t="s">
        <v>450</v>
      </c>
      <c r="AM39" s="3" t="s">
        <v>450</v>
      </c>
    </row>
    <row r="40" spans="1:40" ht="14.25" hidden="1" customHeight="1" x14ac:dyDescent="0.25">
      <c r="A40" s="1"/>
      <c r="B40" s="2" t="s">
        <v>382</v>
      </c>
      <c r="C40">
        <v>10.6</v>
      </c>
      <c r="D40"/>
    </row>
    <row r="41" spans="1:40" ht="14.25" hidden="1" customHeight="1" x14ac:dyDescent="0.25">
      <c r="A41" s="1"/>
      <c r="C41"/>
      <c r="D41"/>
    </row>
    <row r="42" spans="1:40" ht="14.25" customHeight="1" x14ac:dyDescent="0.25">
      <c r="A42" s="35" t="s">
        <v>7</v>
      </c>
      <c r="B42" s="14" t="s">
        <v>17</v>
      </c>
      <c r="C42" s="33">
        <f>SUM(C43:C62)</f>
        <v>321.20000000000005</v>
      </c>
      <c r="D42" s="15" t="s">
        <v>426</v>
      </c>
      <c r="E42" s="16">
        <v>0.95</v>
      </c>
      <c r="F42" s="16">
        <v>0.9</v>
      </c>
      <c r="G42" s="16">
        <v>30</v>
      </c>
      <c r="H42" s="16">
        <v>5</v>
      </c>
      <c r="I42" s="16">
        <f>+G42+H42</f>
        <v>35</v>
      </c>
      <c r="J42" s="17">
        <f>+(G42*E42+H42*F42)/(G42+H42)</f>
        <v>0.94285714285714284</v>
      </c>
      <c r="K42" s="15">
        <v>113</v>
      </c>
      <c r="L42" s="15">
        <v>14</v>
      </c>
      <c r="M42" s="15">
        <v>0</v>
      </c>
      <c r="N42" s="15">
        <v>3</v>
      </c>
      <c r="O42" s="15">
        <v>1</v>
      </c>
      <c r="P42" s="15">
        <v>0</v>
      </c>
      <c r="Q42" s="15">
        <v>0</v>
      </c>
      <c r="R42" s="15">
        <v>0</v>
      </c>
      <c r="S42" s="15">
        <v>1</v>
      </c>
      <c r="T42" s="15">
        <v>1</v>
      </c>
      <c r="U42" s="15">
        <v>1</v>
      </c>
      <c r="V42" s="18">
        <f>+(L42*Otvory!D$1+M42*Otvory!D$2+N42*Otvory!D$3+O42*Otvory!D$4+P42*Otvory!D$5+Q42*Otvory!D$6+R42*Otvory!D$7+S42*Otvory!D$8+T42*Otvory!D$9+U42*Otvory!D$10)</f>
        <v>27.080000000000005</v>
      </c>
      <c r="W42" s="18">
        <f>+(L42*Otvory!D$1*Otvory!C$1+M42*Otvory!D$2*Otvory!C$2+N42*Otvory!D$3*Otvory!C$3+O42*Otvory!D$4*Otvory!C$4+P42*Otvory!D$5*Otvory!C$5)/V42</f>
        <v>1.2157311669128508</v>
      </c>
      <c r="X42" s="17">
        <v>2.8</v>
      </c>
      <c r="Y42" s="19">
        <f>SQRT(W42/X42) * V42/C42</f>
        <v>5.5553686415191809E-2</v>
      </c>
      <c r="Z42" s="19">
        <v>0.121</v>
      </c>
      <c r="AA42" s="20">
        <f>+C42*Z42/(L42*Otvory!D$1*SQRT(Otvory!C$1)+M42*Otvory!D$2*SQRT(Otvory!C$2)+N42*Otvory!D$3*SQRT(Otvory!C$3)+O42*Otvory!D$4*SQRT(Otvory!C$4)+P42*Otvory!D$5*SQRT(Otvory!C$5))</f>
        <v>1.4422236408624536</v>
      </c>
      <c r="AB42" s="16">
        <v>1</v>
      </c>
      <c r="AC42" s="21">
        <f>+I42*J42*AA42*AB42</f>
        <v>47.593380148460966</v>
      </c>
      <c r="AD42" s="17">
        <v>6.5</v>
      </c>
      <c r="AE42" s="15" t="s">
        <v>411</v>
      </c>
      <c r="AF42" s="15" t="s">
        <v>416</v>
      </c>
      <c r="AG42" s="15" t="s">
        <v>447</v>
      </c>
      <c r="AH42" s="13" t="s">
        <v>455</v>
      </c>
      <c r="AI42" s="13" t="s">
        <v>455</v>
      </c>
      <c r="AJ42" s="13" t="s">
        <v>455</v>
      </c>
      <c r="AK42" s="15" t="s">
        <v>450</v>
      </c>
      <c r="AL42" s="15" t="s">
        <v>450</v>
      </c>
      <c r="AM42" s="15" t="s">
        <v>450</v>
      </c>
      <c r="AN42" s="15"/>
    </row>
    <row r="43" spans="1:40" ht="14.25" hidden="1" customHeight="1" x14ac:dyDescent="0.25">
      <c r="A43" s="1"/>
      <c r="B43" s="2" t="s">
        <v>86</v>
      </c>
      <c r="C43">
        <v>113.21</v>
      </c>
      <c r="D43"/>
    </row>
    <row r="44" spans="1:40" ht="14.25" hidden="1" customHeight="1" x14ac:dyDescent="0.25">
      <c r="A44" s="1"/>
      <c r="B44" s="2" t="s">
        <v>87</v>
      </c>
      <c r="C44">
        <v>46.91</v>
      </c>
      <c r="D44"/>
    </row>
    <row r="45" spans="1:40" ht="14.25" hidden="1" customHeight="1" x14ac:dyDescent="0.25">
      <c r="A45" s="1"/>
      <c r="B45" s="2" t="s">
        <v>88</v>
      </c>
      <c r="C45">
        <v>21.59</v>
      </c>
      <c r="D45"/>
    </row>
    <row r="46" spans="1:40" ht="14.25" hidden="1" customHeight="1" x14ac:dyDescent="0.25">
      <c r="A46" s="1"/>
      <c r="B46" s="2" t="s">
        <v>89</v>
      </c>
      <c r="C46">
        <v>15.38</v>
      </c>
      <c r="D46"/>
    </row>
    <row r="47" spans="1:40" ht="14.25" hidden="1" customHeight="1" x14ac:dyDescent="0.25">
      <c r="A47" s="1"/>
      <c r="B47" s="2" t="s">
        <v>90</v>
      </c>
      <c r="C47">
        <v>5.68</v>
      </c>
      <c r="D47"/>
    </row>
    <row r="48" spans="1:40" ht="14.25" hidden="1" customHeight="1" x14ac:dyDescent="0.25">
      <c r="A48" s="1"/>
      <c r="B48" s="2" t="s">
        <v>91</v>
      </c>
      <c r="C48">
        <v>15.63</v>
      </c>
      <c r="D48"/>
    </row>
    <row r="49" spans="1:40" ht="14.25" hidden="1" customHeight="1" x14ac:dyDescent="0.25">
      <c r="A49" s="1"/>
      <c r="B49" s="2" t="s">
        <v>92</v>
      </c>
      <c r="C49">
        <v>4.76</v>
      </c>
      <c r="D49"/>
    </row>
    <row r="50" spans="1:40" ht="14.25" hidden="1" customHeight="1" x14ac:dyDescent="0.25">
      <c r="A50" s="1"/>
      <c r="B50" s="2" t="s">
        <v>93</v>
      </c>
      <c r="C50">
        <v>7.05</v>
      </c>
      <c r="D50"/>
    </row>
    <row r="51" spans="1:40" ht="14.25" hidden="1" customHeight="1" x14ac:dyDescent="0.25">
      <c r="A51" s="1"/>
      <c r="B51" s="2" t="s">
        <v>94</v>
      </c>
      <c r="C51">
        <v>6.84</v>
      </c>
      <c r="D51"/>
    </row>
    <row r="52" spans="1:40" ht="14.25" hidden="1" customHeight="1" x14ac:dyDescent="0.25">
      <c r="A52" s="1"/>
      <c r="B52" s="2" t="s">
        <v>95</v>
      </c>
      <c r="C52">
        <v>2.4900000000000002</v>
      </c>
      <c r="D52"/>
    </row>
    <row r="53" spans="1:40" ht="14.25" hidden="1" customHeight="1" x14ac:dyDescent="0.25">
      <c r="A53" s="1"/>
      <c r="B53" s="2" t="s">
        <v>96</v>
      </c>
      <c r="C53">
        <v>2.75</v>
      </c>
      <c r="D53"/>
    </row>
    <row r="54" spans="1:40" ht="14.25" hidden="1" customHeight="1" x14ac:dyDescent="0.25">
      <c r="A54" s="1"/>
      <c r="B54" s="2" t="s">
        <v>97</v>
      </c>
      <c r="C54">
        <v>1.57</v>
      </c>
      <c r="D54"/>
    </row>
    <row r="55" spans="1:40" ht="14.25" hidden="1" customHeight="1" x14ac:dyDescent="0.25">
      <c r="A55" s="1"/>
      <c r="B55" s="2" t="s">
        <v>98</v>
      </c>
      <c r="C55">
        <v>1.2</v>
      </c>
      <c r="D55"/>
    </row>
    <row r="56" spans="1:40" ht="14.25" hidden="1" customHeight="1" x14ac:dyDescent="0.25">
      <c r="A56" s="1"/>
      <c r="B56" s="2" t="s">
        <v>99</v>
      </c>
      <c r="C56">
        <v>3.65</v>
      </c>
      <c r="D56"/>
    </row>
    <row r="57" spans="1:40" ht="14.25" hidden="1" customHeight="1" x14ac:dyDescent="0.25">
      <c r="A57" s="1"/>
      <c r="B57" s="2" t="s">
        <v>100</v>
      </c>
      <c r="C57">
        <v>6.24</v>
      </c>
      <c r="D57"/>
    </row>
    <row r="58" spans="1:40" ht="14.25" hidden="1" customHeight="1" x14ac:dyDescent="0.25">
      <c r="A58" s="1"/>
      <c r="B58" s="2" t="s">
        <v>101</v>
      </c>
      <c r="C58">
        <v>7.1</v>
      </c>
      <c r="D58"/>
    </row>
    <row r="59" spans="1:40" ht="14.25" hidden="1" customHeight="1" x14ac:dyDescent="0.25">
      <c r="A59" s="1"/>
      <c r="B59" s="2" t="s">
        <v>102</v>
      </c>
      <c r="C59">
        <v>1.94</v>
      </c>
      <c r="D59"/>
    </row>
    <row r="60" spans="1:40" ht="14.25" hidden="1" customHeight="1" x14ac:dyDescent="0.25">
      <c r="A60" s="1"/>
      <c r="B60" s="2" t="s">
        <v>103</v>
      </c>
      <c r="C60">
        <v>11.22</v>
      </c>
      <c r="D60"/>
    </row>
    <row r="61" spans="1:40" ht="14.25" hidden="1" customHeight="1" x14ac:dyDescent="0.25">
      <c r="A61" s="1"/>
      <c r="B61" s="2" t="s">
        <v>104</v>
      </c>
      <c r="C61">
        <v>6.68</v>
      </c>
      <c r="D61"/>
    </row>
    <row r="62" spans="1:40" ht="14.25" hidden="1" customHeight="1" x14ac:dyDescent="0.25">
      <c r="A62" s="1"/>
      <c r="B62" s="2" t="s">
        <v>105</v>
      </c>
      <c r="C62">
        <v>39.31</v>
      </c>
      <c r="D62"/>
    </row>
    <row r="63" spans="1:40" ht="14.25" hidden="1" customHeight="1" x14ac:dyDescent="0.25">
      <c r="A63" s="1"/>
      <c r="C63"/>
      <c r="D63"/>
    </row>
    <row r="64" spans="1:40" s="44" customFormat="1" ht="14.25" customHeight="1" x14ac:dyDescent="0.25">
      <c r="A64" s="35" t="s">
        <v>8</v>
      </c>
      <c r="B64" s="14" t="s">
        <v>18</v>
      </c>
      <c r="C64" s="33">
        <f>SUM(C65:C70)</f>
        <v>158.12</v>
      </c>
      <c r="D64" s="15" t="s">
        <v>432</v>
      </c>
      <c r="E64" s="16">
        <v>0.8</v>
      </c>
      <c r="F64" s="16">
        <v>0.9</v>
      </c>
      <c r="G64" s="16">
        <v>5</v>
      </c>
      <c r="H64" s="16">
        <v>5</v>
      </c>
      <c r="I64" s="16">
        <f>+G64+H64</f>
        <v>10</v>
      </c>
      <c r="J64" s="17">
        <f>+(G64*E64+H64*F64)/(G64+H64)</f>
        <v>0.85</v>
      </c>
      <c r="K64" s="15">
        <v>50</v>
      </c>
      <c r="L64" s="15">
        <v>7</v>
      </c>
      <c r="M64" s="15">
        <v>1</v>
      </c>
      <c r="N64" s="15">
        <v>1</v>
      </c>
      <c r="O64" s="15">
        <v>0</v>
      </c>
      <c r="P64" s="15">
        <v>1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8">
        <f>+(L64*Otvory!D$1+M64*Otvory!D$2+N64*Otvory!D$3+O64*Otvory!D$4+P64*Otvory!D$5+Q64*Otvory!D$6+R64*Otvory!D$7+S64*Otvory!D$8+T64*Otvory!D$9+U64*Otvory!D$10)</f>
        <v>16.110000000000003</v>
      </c>
      <c r="W64" s="18">
        <f>+(L64*Otvory!D$1*Otvory!C$1+M64*Otvory!D$2*Otvory!C$2+N64*Otvory!D$3*Otvory!C$3+O64*Otvory!D$4*Otvory!C$4+P64*Otvory!D$5*Otvory!C$5)/V64</f>
        <v>1.7614525139664803</v>
      </c>
      <c r="X64" s="17">
        <v>2.8</v>
      </c>
      <c r="Y64" s="19">
        <f>SQRT(W64/X64) * V64/C64</f>
        <v>8.0810015294241866E-2</v>
      </c>
      <c r="Z64" s="19">
        <v>0.127</v>
      </c>
      <c r="AA64" s="20">
        <f>+C64*Z64/(L64*Otvory!D$1*SQRT(Otvory!C$1)+M64*Otvory!D$2*SQRT(Otvory!C$2)+N64*Otvory!D$3*SQRT(Otvory!C$3)+O64*Otvory!D$4*SQRT(Otvory!C$4)+P64*Otvory!D$5*SQRT(Otvory!C$5))</f>
        <v>0.94689078424763151</v>
      </c>
      <c r="AB64" s="16">
        <v>1</v>
      </c>
      <c r="AC64" s="21">
        <f>+I64*J64*AA64*AB64</f>
        <v>8.0485716661048681</v>
      </c>
      <c r="AD64" s="17">
        <v>6.5</v>
      </c>
      <c r="AE64" s="15" t="s">
        <v>408</v>
      </c>
      <c r="AF64" s="15" t="s">
        <v>482</v>
      </c>
      <c r="AG64" s="15" t="s">
        <v>447</v>
      </c>
      <c r="AH64" s="15" t="s">
        <v>450</v>
      </c>
      <c r="AI64" s="15" t="s">
        <v>450</v>
      </c>
      <c r="AJ64" s="15" t="s">
        <v>450</v>
      </c>
      <c r="AK64" s="15" t="s">
        <v>450</v>
      </c>
      <c r="AL64" s="15" t="s">
        <v>450</v>
      </c>
      <c r="AM64" s="15" t="s">
        <v>450</v>
      </c>
      <c r="AN64" s="15"/>
    </row>
    <row r="65" spans="1:40" ht="14.25" hidden="1" customHeight="1" x14ac:dyDescent="0.25">
      <c r="A65" s="1"/>
      <c r="B65" s="2" t="s">
        <v>376</v>
      </c>
      <c r="C65">
        <v>26.84</v>
      </c>
      <c r="D65"/>
    </row>
    <row r="66" spans="1:40" ht="14.25" hidden="1" customHeight="1" x14ac:dyDescent="0.25">
      <c r="A66" s="1"/>
      <c r="B66" s="2" t="s">
        <v>106</v>
      </c>
      <c r="C66">
        <v>7.2</v>
      </c>
      <c r="D66"/>
    </row>
    <row r="67" spans="1:40" ht="14.25" hidden="1" customHeight="1" x14ac:dyDescent="0.25">
      <c r="A67" s="1"/>
      <c r="B67" s="2" t="s">
        <v>145</v>
      </c>
      <c r="C67">
        <v>6.96</v>
      </c>
      <c r="D67"/>
    </row>
    <row r="68" spans="1:40" ht="14.25" hidden="1" customHeight="1" x14ac:dyDescent="0.25">
      <c r="A68" s="1"/>
      <c r="B68" s="2" t="s">
        <v>146</v>
      </c>
      <c r="C68">
        <v>60.2</v>
      </c>
      <c r="D68"/>
    </row>
    <row r="69" spans="1:40" ht="14.25" hidden="1" customHeight="1" x14ac:dyDescent="0.25">
      <c r="A69" s="1"/>
      <c r="B69" s="2" t="s">
        <v>214</v>
      </c>
      <c r="C69">
        <v>7.2</v>
      </c>
      <c r="D69"/>
    </row>
    <row r="70" spans="1:40" ht="14.25" hidden="1" customHeight="1" x14ac:dyDescent="0.25">
      <c r="A70" s="1"/>
      <c r="B70" s="2" t="s">
        <v>215</v>
      </c>
      <c r="C70">
        <v>49.72</v>
      </c>
      <c r="D70"/>
    </row>
    <row r="71" spans="1:40" ht="14.25" hidden="1" customHeight="1" x14ac:dyDescent="0.25">
      <c r="A71" s="1"/>
      <c r="C71"/>
      <c r="D71"/>
    </row>
    <row r="72" spans="1:40" ht="14.25" customHeight="1" x14ac:dyDescent="0.25">
      <c r="A72" s="35" t="s">
        <v>9</v>
      </c>
      <c r="B72" s="14" t="s">
        <v>407</v>
      </c>
      <c r="C72" s="33">
        <v>20.54</v>
      </c>
      <c r="D72" s="15" t="s">
        <v>422</v>
      </c>
      <c r="E72" s="16">
        <v>0.9</v>
      </c>
      <c r="F72" s="16">
        <v>0.9</v>
      </c>
      <c r="G72" s="16">
        <v>15</v>
      </c>
      <c r="H72" s="16">
        <v>2</v>
      </c>
      <c r="I72" s="16">
        <f>+G72+H72</f>
        <v>17</v>
      </c>
      <c r="J72" s="17">
        <f>+(G72*E72+H72*F72)/(G72+H72)</f>
        <v>0.9</v>
      </c>
      <c r="K72" s="15">
        <v>20</v>
      </c>
      <c r="L72" s="15">
        <v>1</v>
      </c>
      <c r="M72" s="15">
        <v>1</v>
      </c>
      <c r="N72" s="15">
        <v>1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8">
        <f>+(L72*Otvory!D$1+M72*Otvory!D$2+N72*Otvory!D$3+O72*Otvory!D$4+P72*Otvory!D$5+Q72*Otvory!D$6+R72*Otvory!D$7+S72*Otvory!D$8+T72*Otvory!D$9+U72*Otvory!D$10)</f>
        <v>3.87</v>
      </c>
      <c r="W72" s="18">
        <v>0</v>
      </c>
      <c r="X72" s="17">
        <v>2.8</v>
      </c>
      <c r="Y72" s="19">
        <v>5.0000000000000001E-3</v>
      </c>
      <c r="Z72" s="19">
        <v>8.9999999999999993E-3</v>
      </c>
      <c r="AA72" s="20">
        <f>Z72/0.005/SQRT(X72)</f>
        <v>1.0757057484009542</v>
      </c>
      <c r="AB72" s="16">
        <v>1</v>
      </c>
      <c r="AC72" s="21">
        <f>+I72*J72*AA72*AB72</f>
        <v>16.4582979505346</v>
      </c>
      <c r="AD72" s="17" t="s">
        <v>481</v>
      </c>
      <c r="AE72" s="15" t="s">
        <v>408</v>
      </c>
      <c r="AF72" s="15" t="s">
        <v>416</v>
      </c>
      <c r="AG72" s="15" t="s">
        <v>447</v>
      </c>
      <c r="AH72" s="3" t="s">
        <v>450</v>
      </c>
      <c r="AI72" s="3" t="s">
        <v>450</v>
      </c>
      <c r="AJ72" s="3" t="s">
        <v>450</v>
      </c>
      <c r="AK72" s="15" t="s">
        <v>450</v>
      </c>
      <c r="AL72" s="15" t="s">
        <v>450</v>
      </c>
      <c r="AM72" s="15" t="s">
        <v>450</v>
      </c>
      <c r="AN72" s="15"/>
    </row>
    <row r="73" spans="1:40" ht="14.25" hidden="1" customHeight="1" x14ac:dyDescent="0.25">
      <c r="A73" s="1"/>
      <c r="B73" s="2" t="s">
        <v>107</v>
      </c>
      <c r="C73">
        <v>20.54</v>
      </c>
      <c r="D73"/>
    </row>
    <row r="74" spans="1:40" ht="14.25" hidden="1" customHeight="1" x14ac:dyDescent="0.25">
      <c r="A74" s="1"/>
      <c r="C74"/>
      <c r="D74"/>
    </row>
    <row r="75" spans="1:40" ht="14.25" customHeight="1" x14ac:dyDescent="0.25">
      <c r="A75" s="35" t="s">
        <v>19</v>
      </c>
      <c r="B75" s="14" t="s">
        <v>32</v>
      </c>
      <c r="C75" s="33">
        <f>SUM(C76:C84)</f>
        <v>172.32</v>
      </c>
      <c r="D75" s="15" t="s">
        <v>427</v>
      </c>
      <c r="E75" s="16">
        <v>1</v>
      </c>
      <c r="F75" s="16">
        <v>0.9</v>
      </c>
      <c r="G75" s="16">
        <v>40</v>
      </c>
      <c r="H75" s="16">
        <v>5</v>
      </c>
      <c r="I75" s="16">
        <f>+G75+H75</f>
        <v>45</v>
      </c>
      <c r="J75" s="17">
        <f>+(G75*E75+H75*F75)/(G75+H75)</f>
        <v>0.98888888888888893</v>
      </c>
      <c r="K75" s="15">
        <v>23</v>
      </c>
      <c r="L75" s="15">
        <v>14</v>
      </c>
      <c r="M75" s="15">
        <v>6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1</v>
      </c>
      <c r="T75" s="15">
        <v>0</v>
      </c>
      <c r="U75" s="15">
        <v>0</v>
      </c>
      <c r="V75" s="18">
        <f>+(L75*Otvory!D$1+M75*Otvory!D$2+N75*Otvory!D$3+O75*Otvory!D$4+P75*Otvory!D$5+Q75*Otvory!D$6+R75*Otvory!D$7+S75*Otvory!D$8+T75*Otvory!D$9+U75*Otvory!D$10)</f>
        <v>31.14</v>
      </c>
      <c r="W75" s="18">
        <f>+(L75*Otvory!D$1*Otvory!C$1+M75*Otvory!D$2*Otvory!C$2+N75*Otvory!D$3*Otvory!C$3+O75*Otvory!D$4*Otvory!C$4+P75*Otvory!D$5*Otvory!C$5)/V75</f>
        <v>1.7497109826589596</v>
      </c>
      <c r="X75" s="17">
        <v>2.8</v>
      </c>
      <c r="Y75" s="19">
        <f>SQRT(W75/X75) * V75/C75</f>
        <v>0.14285224354507833</v>
      </c>
      <c r="Z75" s="19">
        <v>0.17499999999999999</v>
      </c>
      <c r="AA75" s="20">
        <f>+C75*Z75/(L75*Otvory!D$1*SQRT(Otvory!C$1)+M75*Otvory!D$2*SQRT(Otvory!C$2)+N75*Otvory!D$3*SQRT(Otvory!C$3)+O75*Otvory!D$4*SQRT(Otvory!C$4)+P75*Otvory!D$5*SQRT(Otvory!C$5))</f>
        <v>0.73968753869499582</v>
      </c>
      <c r="AB75" s="16">
        <v>1</v>
      </c>
      <c r="AC75" s="21">
        <f>+I75*J75*AA75*AB75</f>
        <v>32.916095471927314</v>
      </c>
      <c r="AD75" s="17">
        <v>3.4</v>
      </c>
      <c r="AE75" s="15" t="s">
        <v>409</v>
      </c>
      <c r="AF75" s="15" t="s">
        <v>483</v>
      </c>
      <c r="AG75" s="15" t="s">
        <v>447</v>
      </c>
      <c r="AH75" s="3" t="s">
        <v>450</v>
      </c>
      <c r="AI75" s="3" t="s">
        <v>450</v>
      </c>
      <c r="AJ75" s="3" t="s">
        <v>450</v>
      </c>
      <c r="AK75" s="31" t="s">
        <v>457</v>
      </c>
      <c r="AL75" s="15" t="s">
        <v>450</v>
      </c>
      <c r="AM75" s="15" t="s">
        <v>450</v>
      </c>
      <c r="AN75" s="15"/>
    </row>
    <row r="76" spans="1:40" ht="14.25" hidden="1" customHeight="1" x14ac:dyDescent="0.25">
      <c r="A76" s="1"/>
      <c r="B76" s="2" t="s">
        <v>108</v>
      </c>
      <c r="C76">
        <v>12.1</v>
      </c>
      <c r="D76"/>
    </row>
    <row r="77" spans="1:40" ht="14.25" hidden="1" customHeight="1" x14ac:dyDescent="0.25">
      <c r="A77" s="1"/>
      <c r="B77" s="2" t="s">
        <v>109</v>
      </c>
      <c r="C77">
        <v>8.19</v>
      </c>
      <c r="D77"/>
    </row>
    <row r="78" spans="1:40" ht="14.25" hidden="1" customHeight="1" x14ac:dyDescent="0.25">
      <c r="A78" s="1"/>
      <c r="B78" s="2" t="s">
        <v>110</v>
      </c>
      <c r="C78">
        <v>44.25</v>
      </c>
      <c r="D78"/>
      <c r="L78" s="4">
        <v>1</v>
      </c>
      <c r="M78" s="4">
        <v>1</v>
      </c>
      <c r="N78" s="4">
        <v>1</v>
      </c>
    </row>
    <row r="79" spans="1:40" ht="14.25" hidden="1" customHeight="1" x14ac:dyDescent="0.25">
      <c r="A79" s="1"/>
      <c r="B79" s="2" t="s">
        <v>111</v>
      </c>
      <c r="C79">
        <v>3.9</v>
      </c>
      <c r="D79"/>
      <c r="L79" s="4">
        <v>2</v>
      </c>
      <c r="P79" s="4">
        <v>1</v>
      </c>
    </row>
    <row r="80" spans="1:40" ht="14.25" hidden="1" customHeight="1" x14ac:dyDescent="0.25">
      <c r="A80" s="1"/>
      <c r="B80" s="2" t="s">
        <v>112</v>
      </c>
      <c r="C80">
        <v>19.3</v>
      </c>
      <c r="D80"/>
      <c r="L80" s="4">
        <v>4</v>
      </c>
      <c r="V80" s="4"/>
    </row>
    <row r="81" spans="1:40" ht="14.25" hidden="1" customHeight="1" x14ac:dyDescent="0.25">
      <c r="A81" s="1"/>
      <c r="B81" s="2" t="s">
        <v>113</v>
      </c>
      <c r="C81">
        <v>20.170000000000002</v>
      </c>
      <c r="D81"/>
    </row>
    <row r="82" spans="1:40" ht="14.25" hidden="1" customHeight="1" x14ac:dyDescent="0.25">
      <c r="A82" s="1"/>
      <c r="B82" s="2" t="s">
        <v>114</v>
      </c>
      <c r="C82">
        <v>21.74</v>
      </c>
      <c r="D82"/>
    </row>
    <row r="83" spans="1:40" ht="14.25" hidden="1" customHeight="1" x14ac:dyDescent="0.25">
      <c r="A83" s="1"/>
      <c r="B83" s="2" t="s">
        <v>115</v>
      </c>
      <c r="C83">
        <v>19.5</v>
      </c>
      <c r="D83"/>
    </row>
    <row r="84" spans="1:40" ht="14.25" hidden="1" customHeight="1" x14ac:dyDescent="0.25">
      <c r="A84" s="1"/>
      <c r="B84" s="2" t="s">
        <v>116</v>
      </c>
      <c r="C84">
        <v>23.17</v>
      </c>
      <c r="D84"/>
    </row>
    <row r="85" spans="1:40" ht="14.25" hidden="1" customHeight="1" x14ac:dyDescent="0.25">
      <c r="A85" s="1"/>
      <c r="C85"/>
      <c r="D85"/>
    </row>
    <row r="86" spans="1:40" ht="14.25" customHeight="1" x14ac:dyDescent="0.25">
      <c r="A86" s="35" t="s">
        <v>20</v>
      </c>
      <c r="B86" s="14" t="s">
        <v>391</v>
      </c>
      <c r="C86" s="33">
        <f>SUM(C87:C106)</f>
        <v>238.32999999999996</v>
      </c>
      <c r="D86" s="15" t="s">
        <v>428</v>
      </c>
      <c r="E86" s="15" t="s">
        <v>392</v>
      </c>
      <c r="F86" s="15" t="s">
        <v>392</v>
      </c>
      <c r="G86" s="15" t="s">
        <v>392</v>
      </c>
      <c r="H86" s="15" t="s">
        <v>392</v>
      </c>
      <c r="I86" s="15" t="s">
        <v>392</v>
      </c>
      <c r="J86" s="22">
        <v>0.9</v>
      </c>
      <c r="K86" s="15" t="s">
        <v>392</v>
      </c>
      <c r="L86" s="15" t="s">
        <v>392</v>
      </c>
      <c r="M86" s="15" t="s">
        <v>392</v>
      </c>
      <c r="N86" s="15" t="s">
        <v>392</v>
      </c>
      <c r="O86" s="15" t="s">
        <v>392</v>
      </c>
      <c r="P86" s="15" t="s">
        <v>392</v>
      </c>
      <c r="Q86" s="15" t="s">
        <v>392</v>
      </c>
      <c r="R86" s="15" t="s">
        <v>392</v>
      </c>
      <c r="S86" s="15" t="s">
        <v>392</v>
      </c>
      <c r="T86" s="15" t="s">
        <v>392</v>
      </c>
      <c r="U86" s="15" t="s">
        <v>392</v>
      </c>
      <c r="V86" s="15" t="s">
        <v>392</v>
      </c>
      <c r="W86" s="15" t="s">
        <v>392</v>
      </c>
      <c r="X86" s="15" t="s">
        <v>392</v>
      </c>
      <c r="Y86" s="19" t="s">
        <v>392</v>
      </c>
      <c r="Z86" s="19" t="s">
        <v>392</v>
      </c>
      <c r="AA86" s="18" t="s">
        <v>392</v>
      </c>
      <c r="AB86" s="15" t="s">
        <v>392</v>
      </c>
      <c r="AC86" s="21">
        <v>23</v>
      </c>
      <c r="AD86" s="17">
        <v>3.4</v>
      </c>
      <c r="AE86" s="15" t="s">
        <v>409</v>
      </c>
      <c r="AF86" s="15" t="s">
        <v>482</v>
      </c>
      <c r="AG86" s="15" t="s">
        <v>447</v>
      </c>
      <c r="AH86" s="3" t="s">
        <v>450</v>
      </c>
      <c r="AI86" s="3" t="s">
        <v>450</v>
      </c>
      <c r="AJ86" s="3" t="s">
        <v>450</v>
      </c>
      <c r="AK86" s="31" t="s">
        <v>457</v>
      </c>
      <c r="AL86" s="15" t="s">
        <v>450</v>
      </c>
      <c r="AM86" s="15" t="s">
        <v>450</v>
      </c>
      <c r="AN86" s="15"/>
    </row>
    <row r="87" spans="1:40" ht="14.25" hidden="1" customHeight="1" x14ac:dyDescent="0.25">
      <c r="A87" s="1"/>
      <c r="B87" s="2" t="s">
        <v>117</v>
      </c>
      <c r="C87">
        <v>14.9</v>
      </c>
      <c r="D87"/>
    </row>
    <row r="88" spans="1:40" ht="14.25" hidden="1" customHeight="1" x14ac:dyDescent="0.25">
      <c r="A88" s="1"/>
      <c r="B88" s="2" t="s">
        <v>118</v>
      </c>
      <c r="C88">
        <v>4.84</v>
      </c>
      <c r="D88"/>
    </row>
    <row r="89" spans="1:40" ht="14.25" hidden="1" customHeight="1" x14ac:dyDescent="0.25">
      <c r="A89" s="1"/>
      <c r="B89" s="2" t="s">
        <v>119</v>
      </c>
      <c r="C89">
        <v>14.28</v>
      </c>
      <c r="D89"/>
    </row>
    <row r="90" spans="1:40" ht="14.25" hidden="1" customHeight="1" x14ac:dyDescent="0.25">
      <c r="A90" s="1"/>
      <c r="B90" s="2" t="s">
        <v>120</v>
      </c>
      <c r="C90">
        <v>4.84</v>
      </c>
      <c r="D90"/>
    </row>
    <row r="91" spans="1:40" ht="14.25" hidden="1" customHeight="1" x14ac:dyDescent="0.25">
      <c r="A91" s="1"/>
      <c r="B91" s="2" t="s">
        <v>121</v>
      </c>
      <c r="C91">
        <v>14.31</v>
      </c>
      <c r="D91"/>
    </row>
    <row r="92" spans="1:40" ht="14.25" hidden="1" customHeight="1" x14ac:dyDescent="0.25">
      <c r="A92" s="1"/>
      <c r="B92" s="2" t="s">
        <v>122</v>
      </c>
      <c r="C92">
        <v>4.84</v>
      </c>
      <c r="D92"/>
    </row>
    <row r="93" spans="1:40" ht="14.25" hidden="1" customHeight="1" x14ac:dyDescent="0.25">
      <c r="A93" s="1"/>
      <c r="B93" s="2" t="s">
        <v>123</v>
      </c>
      <c r="C93">
        <v>14.33</v>
      </c>
      <c r="D93"/>
    </row>
    <row r="94" spans="1:40" ht="14.25" hidden="1" customHeight="1" x14ac:dyDescent="0.25">
      <c r="A94" s="1"/>
      <c r="B94" s="2" t="s">
        <v>124</v>
      </c>
      <c r="C94">
        <v>4.84</v>
      </c>
      <c r="D94"/>
    </row>
    <row r="95" spans="1:40" ht="14.25" hidden="1" customHeight="1" x14ac:dyDescent="0.25">
      <c r="A95" s="1"/>
      <c r="B95" s="2" t="s">
        <v>125</v>
      </c>
      <c r="C95">
        <v>14.33</v>
      </c>
      <c r="D95"/>
    </row>
    <row r="96" spans="1:40" ht="14.25" hidden="1" customHeight="1" x14ac:dyDescent="0.25">
      <c r="A96" s="1"/>
      <c r="B96" s="2" t="s">
        <v>126</v>
      </c>
      <c r="C96">
        <v>4.84</v>
      </c>
      <c r="D96"/>
    </row>
    <row r="97" spans="1:40" ht="14.25" hidden="1" customHeight="1" x14ac:dyDescent="0.25">
      <c r="A97" s="1"/>
      <c r="B97" s="2" t="s">
        <v>128</v>
      </c>
      <c r="C97">
        <v>14.41</v>
      </c>
      <c r="D97"/>
    </row>
    <row r="98" spans="1:40" ht="14.25" hidden="1" customHeight="1" x14ac:dyDescent="0.25">
      <c r="A98" s="1"/>
      <c r="B98" s="2" t="s">
        <v>129</v>
      </c>
      <c r="C98">
        <v>4.84</v>
      </c>
      <c r="D98"/>
    </row>
    <row r="99" spans="1:40" ht="14.25" hidden="1" customHeight="1" x14ac:dyDescent="0.25">
      <c r="A99" s="1"/>
      <c r="B99" s="2" t="s">
        <v>130</v>
      </c>
      <c r="C99">
        <v>11.83</v>
      </c>
      <c r="D99"/>
    </row>
    <row r="100" spans="1:40" ht="14.25" hidden="1" customHeight="1" x14ac:dyDescent="0.25">
      <c r="A100" s="1"/>
      <c r="B100" s="2" t="s">
        <v>131</v>
      </c>
      <c r="C100">
        <v>14.1</v>
      </c>
      <c r="D100"/>
    </row>
    <row r="101" spans="1:40" ht="14.25" hidden="1" customHeight="1" x14ac:dyDescent="0.25">
      <c r="A101" s="1"/>
      <c r="B101" s="2" t="s">
        <v>132</v>
      </c>
      <c r="C101">
        <v>6.67</v>
      </c>
      <c r="D101"/>
    </row>
    <row r="102" spans="1:40" ht="14.25" hidden="1" customHeight="1" x14ac:dyDescent="0.25">
      <c r="A102" s="1"/>
      <c r="B102" s="2" t="s">
        <v>133</v>
      </c>
      <c r="C102">
        <v>15.7</v>
      </c>
      <c r="D102"/>
    </row>
    <row r="103" spans="1:40" ht="14.25" hidden="1" customHeight="1" x14ac:dyDescent="0.25">
      <c r="A103" s="1"/>
      <c r="B103" s="2" t="s">
        <v>134</v>
      </c>
      <c r="C103">
        <v>6.67</v>
      </c>
      <c r="D103"/>
    </row>
    <row r="104" spans="1:40" ht="14.25" hidden="1" customHeight="1" x14ac:dyDescent="0.25">
      <c r="A104" s="1"/>
      <c r="B104" s="2" t="s">
        <v>135</v>
      </c>
      <c r="C104">
        <v>14.35</v>
      </c>
      <c r="D104"/>
    </row>
    <row r="105" spans="1:40" ht="14.25" hidden="1" customHeight="1" x14ac:dyDescent="0.25">
      <c r="A105" s="1"/>
      <c r="B105" s="2" t="s">
        <v>377</v>
      </c>
      <c r="C105">
        <v>6.93</v>
      </c>
      <c r="D105"/>
    </row>
    <row r="106" spans="1:40" ht="14.25" hidden="1" customHeight="1" x14ac:dyDescent="0.25">
      <c r="A106" s="1"/>
      <c r="B106" s="2" t="s">
        <v>136</v>
      </c>
      <c r="C106">
        <v>46.48</v>
      </c>
      <c r="D106"/>
    </row>
    <row r="107" spans="1:40" ht="14.25" hidden="1" customHeight="1" x14ac:dyDescent="0.25">
      <c r="A107" s="1"/>
      <c r="C107"/>
      <c r="D107"/>
    </row>
    <row r="108" spans="1:40" ht="14.25" customHeight="1" x14ac:dyDescent="0.25">
      <c r="A108" s="35" t="s">
        <v>21</v>
      </c>
      <c r="B108" s="14" t="s">
        <v>33</v>
      </c>
      <c r="C108" s="33">
        <f>SUM(C109:C114)</f>
        <v>86.99</v>
      </c>
      <c r="D108" s="15" t="s">
        <v>429</v>
      </c>
      <c r="E108" s="16">
        <v>0.9</v>
      </c>
      <c r="F108" s="16">
        <v>0.9</v>
      </c>
      <c r="G108" s="16">
        <v>20</v>
      </c>
      <c r="H108" s="16">
        <v>5</v>
      </c>
      <c r="I108" s="16">
        <f>+G108+H108</f>
        <v>25</v>
      </c>
      <c r="J108" s="17">
        <f>+(G108*E108+H108*F108)/(G108+H108)</f>
        <v>0.9</v>
      </c>
      <c r="K108" s="15">
        <v>20</v>
      </c>
      <c r="L108" s="15">
        <v>6</v>
      </c>
      <c r="M108" s="15">
        <v>0</v>
      </c>
      <c r="N108" s="15">
        <v>0</v>
      </c>
      <c r="O108" s="15">
        <v>0</v>
      </c>
      <c r="P108" s="15">
        <v>1</v>
      </c>
      <c r="Q108" s="15">
        <v>0</v>
      </c>
      <c r="R108" s="15">
        <v>0</v>
      </c>
      <c r="S108" s="15">
        <v>2</v>
      </c>
      <c r="T108" s="15">
        <v>0</v>
      </c>
      <c r="U108" s="15">
        <v>0</v>
      </c>
      <c r="V108" s="18">
        <f>+(L108*Otvory!D$1+M108*Otvory!D$2+N108*Otvory!D$3+O108*Otvory!D$4+P108*Otvory!D$5+Q108*Otvory!D$6+R108*Otvory!D$7+S108*Otvory!D$8+T108*Otvory!D$9+U108*Otvory!D$10)</f>
        <v>12.960000000000003</v>
      </c>
      <c r="W108" s="18">
        <f>+(L108*Otvory!D$1*Otvory!C$1+M108*Otvory!D$2*Otvory!C$2+N108*Otvory!D$3*Otvory!C$3+O108*Otvory!D$4*Otvory!C$4+P108*Otvory!D$5*Otvory!C$5)/V108</f>
        <v>1.6722222222222218</v>
      </c>
      <c r="X108" s="17">
        <v>2.8</v>
      </c>
      <c r="Y108" s="19">
        <f>SQRT(W108/X108) * V108/C108</f>
        <v>0.11513401511823614</v>
      </c>
      <c r="Z108" s="19">
        <v>0.14899999999999999</v>
      </c>
      <c r="AA108" s="20">
        <f>+C108*Z108/(L108*Otvory!D$1*SQRT(Otvory!C$1)+M108*Otvory!D$2*SQRT(Otvory!C$2)+N108*Otvory!D$3*SQRT(Otvory!C$3)+O108*Otvory!D$4*SQRT(Otvory!C$4)+P108*Otvory!D$5*SQRT(Otvory!C$5))</f>
        <v>0.80013991799750461</v>
      </c>
      <c r="AB108" s="16">
        <v>1</v>
      </c>
      <c r="AC108" s="21">
        <f>+I108*J108*AA108*AB108</f>
        <v>18.003148154943855</v>
      </c>
      <c r="AD108" s="17">
        <v>6.5</v>
      </c>
      <c r="AE108" s="15" t="s">
        <v>409</v>
      </c>
      <c r="AF108" s="15" t="s">
        <v>416</v>
      </c>
      <c r="AG108" s="15" t="s">
        <v>447</v>
      </c>
      <c r="AH108" s="3" t="s">
        <v>450</v>
      </c>
      <c r="AI108" s="3" t="s">
        <v>450</v>
      </c>
      <c r="AJ108" s="3" t="s">
        <v>450</v>
      </c>
      <c r="AK108" s="15" t="s">
        <v>450</v>
      </c>
      <c r="AL108" s="15" t="s">
        <v>450</v>
      </c>
      <c r="AM108" s="15" t="s">
        <v>450</v>
      </c>
      <c r="AN108" s="15"/>
    </row>
    <row r="109" spans="1:40" ht="14.25" hidden="1" customHeight="1" x14ac:dyDescent="0.25">
      <c r="A109" s="1"/>
      <c r="B109" s="2" t="s">
        <v>137</v>
      </c>
      <c r="C109">
        <v>21.3</v>
      </c>
      <c r="D109"/>
    </row>
    <row r="110" spans="1:40" ht="14.25" hidden="1" customHeight="1" x14ac:dyDescent="0.25">
      <c r="A110" s="1"/>
      <c r="B110" s="2" t="s">
        <v>138</v>
      </c>
      <c r="C110">
        <v>25.09</v>
      </c>
      <c r="D110"/>
    </row>
    <row r="111" spans="1:40" ht="14.25" hidden="1" customHeight="1" x14ac:dyDescent="0.25">
      <c r="A111" s="1"/>
      <c r="B111" s="2" t="s">
        <v>139</v>
      </c>
      <c r="C111">
        <v>20.11</v>
      </c>
      <c r="D111"/>
    </row>
    <row r="112" spans="1:40" ht="14.25" hidden="1" customHeight="1" x14ac:dyDescent="0.25">
      <c r="A112" s="1"/>
      <c r="B112" s="2" t="s">
        <v>140</v>
      </c>
      <c r="C112">
        <v>17.53</v>
      </c>
      <c r="D112"/>
    </row>
    <row r="113" spans="1:40" ht="14.25" hidden="1" customHeight="1" x14ac:dyDescent="0.25">
      <c r="A113" s="1"/>
      <c r="B113" s="2" t="s">
        <v>141</v>
      </c>
      <c r="C113">
        <v>1.66</v>
      </c>
      <c r="D113"/>
    </row>
    <row r="114" spans="1:40" ht="14.25" hidden="1" customHeight="1" x14ac:dyDescent="0.25">
      <c r="A114" s="1"/>
      <c r="B114" s="2" t="s">
        <v>142</v>
      </c>
      <c r="C114">
        <v>1.3</v>
      </c>
      <c r="D114"/>
    </row>
    <row r="115" spans="1:40" ht="14.25" hidden="1" customHeight="1" x14ac:dyDescent="0.25">
      <c r="A115" s="1"/>
      <c r="C115"/>
      <c r="D115"/>
    </row>
    <row r="116" spans="1:40" ht="14.25" customHeight="1" x14ac:dyDescent="0.25">
      <c r="A116" s="35" t="s">
        <v>22</v>
      </c>
      <c r="B116" s="14" t="s">
        <v>34</v>
      </c>
      <c r="C116" s="33">
        <f>+C117</f>
        <v>24.08</v>
      </c>
      <c r="D116" s="15" t="s">
        <v>430</v>
      </c>
      <c r="E116" s="16">
        <v>0.5</v>
      </c>
      <c r="F116" s="16">
        <v>0.9</v>
      </c>
      <c r="G116" s="16">
        <v>5</v>
      </c>
      <c r="H116" s="16">
        <v>5</v>
      </c>
      <c r="I116" s="16">
        <f>+G116+H116</f>
        <v>10</v>
      </c>
      <c r="J116" s="17">
        <f>+(G116*E116+H116*F116)/(G116+H116)</f>
        <v>0.7</v>
      </c>
      <c r="K116" s="15">
        <v>24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8">
        <f>+(L116*Otvory!D$1+M116*Otvory!D$2+N116*Otvory!D$3+O116*Otvory!D$4+P116*Otvory!D$5+Q116*Otvory!D$6+R116*Otvory!D$7+S116*Otvory!D$8+T116*Otvory!D$9+U116*Otvory!D$10)</f>
        <v>0</v>
      </c>
      <c r="W116" s="18">
        <v>0</v>
      </c>
      <c r="X116" s="17">
        <v>2.8</v>
      </c>
      <c r="Y116" s="19">
        <v>5.0000000000000001E-3</v>
      </c>
      <c r="Z116" s="19">
        <v>0.01</v>
      </c>
      <c r="AA116" s="20">
        <f>Z116/0.005/SQRT(X116)</f>
        <v>1.1952286093343936</v>
      </c>
      <c r="AB116" s="16">
        <v>1</v>
      </c>
      <c r="AC116" s="21">
        <f>+I116*J116*AA116*AB116</f>
        <v>8.3666002653407556</v>
      </c>
      <c r="AD116" s="17">
        <v>6.5</v>
      </c>
      <c r="AE116" s="15" t="s">
        <v>408</v>
      </c>
      <c r="AF116" s="15" t="s">
        <v>418</v>
      </c>
      <c r="AG116" s="15" t="s">
        <v>447</v>
      </c>
      <c r="AH116" s="13" t="s">
        <v>455</v>
      </c>
      <c r="AI116" s="13" t="s">
        <v>455</v>
      </c>
      <c r="AJ116" s="13" t="s">
        <v>455</v>
      </c>
      <c r="AK116" s="15" t="s">
        <v>450</v>
      </c>
      <c r="AL116" s="15" t="s">
        <v>450</v>
      </c>
      <c r="AM116" s="15" t="s">
        <v>450</v>
      </c>
      <c r="AN116" s="15"/>
    </row>
    <row r="117" spans="1:40" ht="14.25" hidden="1" customHeight="1" x14ac:dyDescent="0.25">
      <c r="A117" s="1"/>
      <c r="B117" s="2" t="s">
        <v>143</v>
      </c>
      <c r="C117">
        <v>24.08</v>
      </c>
      <c r="D117"/>
    </row>
    <row r="118" spans="1:40" ht="14.25" hidden="1" customHeight="1" x14ac:dyDescent="0.25">
      <c r="A118" s="1"/>
      <c r="C118"/>
      <c r="D118"/>
    </row>
    <row r="119" spans="1:40" ht="14.25" customHeight="1" x14ac:dyDescent="0.25">
      <c r="A119" s="35" t="s">
        <v>23</v>
      </c>
      <c r="B119" s="14" t="s">
        <v>35</v>
      </c>
      <c r="C119" s="33">
        <f>+C120</f>
        <v>2.65</v>
      </c>
      <c r="D119" s="15" t="s">
        <v>431</v>
      </c>
      <c r="E119" s="16">
        <v>1</v>
      </c>
      <c r="F119" s="16">
        <v>0.9</v>
      </c>
      <c r="G119" s="16">
        <v>30</v>
      </c>
      <c r="H119" s="16">
        <v>2</v>
      </c>
      <c r="I119" s="16">
        <f>+G119+H119</f>
        <v>32</v>
      </c>
      <c r="J119" s="17">
        <f>+(G119*E119+H119*F119)/(G119+H119)</f>
        <v>0.99375000000000002</v>
      </c>
      <c r="K119" s="15">
        <v>2.6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8">
        <f>+(L119*Otvory!D$1+M119*Otvory!D$2+N119*Otvory!D$3+O119*Otvory!D$4+P119*Otvory!D$5+Q119*Otvory!D$6+R119*Otvory!D$7+S119*Otvory!D$8+T119*Otvory!D$9+U119*Otvory!D$10)</f>
        <v>0</v>
      </c>
      <c r="W119" s="18">
        <v>0</v>
      </c>
      <c r="X119" s="17">
        <v>2.8</v>
      </c>
      <c r="Y119" s="19">
        <v>5.0000000000000001E-3</v>
      </c>
      <c r="Z119" s="19">
        <v>5.0000000000000001E-3</v>
      </c>
      <c r="AA119" s="20">
        <f>Z119/0.005/SQRT(X119)</f>
        <v>0.59761430466719678</v>
      </c>
      <c r="AB119" s="16">
        <v>1</v>
      </c>
      <c r="AC119" s="21">
        <f>+I119*J119*AA119*AB119</f>
        <v>19.004134888416857</v>
      </c>
      <c r="AD119" s="17">
        <v>6.5</v>
      </c>
      <c r="AE119" s="15" t="s">
        <v>409</v>
      </c>
      <c r="AF119" s="15" t="s">
        <v>419</v>
      </c>
      <c r="AG119" s="15" t="s">
        <v>447</v>
      </c>
      <c r="AH119" s="3" t="s">
        <v>450</v>
      </c>
      <c r="AI119" s="3" t="s">
        <v>450</v>
      </c>
      <c r="AJ119" s="3" t="s">
        <v>450</v>
      </c>
      <c r="AK119" s="15" t="s">
        <v>450</v>
      </c>
      <c r="AL119" s="15" t="s">
        <v>450</v>
      </c>
      <c r="AM119" s="15" t="s">
        <v>450</v>
      </c>
      <c r="AN119" s="15"/>
    </row>
    <row r="120" spans="1:40" ht="14.25" hidden="1" customHeight="1" x14ac:dyDescent="0.25">
      <c r="A120" s="1"/>
      <c r="B120" s="2" t="s">
        <v>144</v>
      </c>
      <c r="C120">
        <v>2.65</v>
      </c>
      <c r="D120"/>
    </row>
    <row r="121" spans="1:40" ht="14.25" hidden="1" customHeight="1" x14ac:dyDescent="0.25">
      <c r="A121" s="1"/>
      <c r="C121"/>
      <c r="D121"/>
    </row>
    <row r="122" spans="1:40" ht="14.25" customHeight="1" x14ac:dyDescent="0.25">
      <c r="A122" s="35" t="s">
        <v>24</v>
      </c>
      <c r="B122" s="14" t="s">
        <v>391</v>
      </c>
      <c r="C122" s="33">
        <f>SUM(C123:C126)</f>
        <v>55.820000000000007</v>
      </c>
      <c r="D122" s="15" t="s">
        <v>459</v>
      </c>
      <c r="E122" s="15" t="s">
        <v>392</v>
      </c>
      <c r="F122" s="15" t="s">
        <v>392</v>
      </c>
      <c r="G122" s="15" t="s">
        <v>392</v>
      </c>
      <c r="H122" s="15" t="s">
        <v>392</v>
      </c>
      <c r="I122" s="15" t="s">
        <v>392</v>
      </c>
      <c r="J122" s="22">
        <v>0.9</v>
      </c>
      <c r="K122" s="15" t="s">
        <v>392</v>
      </c>
      <c r="L122" s="15" t="s">
        <v>392</v>
      </c>
      <c r="M122" s="15" t="s">
        <v>392</v>
      </c>
      <c r="N122" s="15" t="s">
        <v>392</v>
      </c>
      <c r="O122" s="15" t="s">
        <v>392</v>
      </c>
      <c r="P122" s="15" t="s">
        <v>392</v>
      </c>
      <c r="Q122" s="15" t="s">
        <v>392</v>
      </c>
      <c r="R122" s="15" t="s">
        <v>392</v>
      </c>
      <c r="S122" s="15" t="s">
        <v>392</v>
      </c>
      <c r="T122" s="15" t="s">
        <v>392</v>
      </c>
      <c r="U122" s="15" t="s">
        <v>392</v>
      </c>
      <c r="V122" s="15" t="s">
        <v>392</v>
      </c>
      <c r="W122" s="15" t="s">
        <v>392</v>
      </c>
      <c r="X122" s="15" t="s">
        <v>392</v>
      </c>
      <c r="Y122" s="19" t="s">
        <v>392</v>
      </c>
      <c r="Z122" s="19" t="s">
        <v>392</v>
      </c>
      <c r="AA122" s="18" t="s">
        <v>392</v>
      </c>
      <c r="AB122" s="15" t="s">
        <v>392</v>
      </c>
      <c r="AC122" s="21">
        <v>23</v>
      </c>
      <c r="AD122" s="17">
        <v>3.4</v>
      </c>
      <c r="AE122" s="15" t="s">
        <v>409</v>
      </c>
      <c r="AF122" s="15" t="s">
        <v>416</v>
      </c>
      <c r="AG122" s="15" t="s">
        <v>447</v>
      </c>
      <c r="AH122" s="3" t="s">
        <v>450</v>
      </c>
      <c r="AI122" s="3" t="s">
        <v>450</v>
      </c>
      <c r="AJ122" s="3" t="s">
        <v>450</v>
      </c>
      <c r="AK122" s="15" t="s">
        <v>450</v>
      </c>
      <c r="AL122" s="15" t="s">
        <v>450</v>
      </c>
      <c r="AM122" s="15" t="s">
        <v>450</v>
      </c>
      <c r="AN122" s="15"/>
    </row>
    <row r="123" spans="1:40" ht="14.25" hidden="1" customHeight="1" x14ac:dyDescent="0.25">
      <c r="A123" s="1"/>
      <c r="B123" s="2" t="s">
        <v>147</v>
      </c>
      <c r="C123">
        <v>23.07</v>
      </c>
      <c r="D123"/>
    </row>
    <row r="124" spans="1:40" ht="14.25" hidden="1" customHeight="1" x14ac:dyDescent="0.25">
      <c r="A124" s="1"/>
      <c r="B124" s="2" t="s">
        <v>148</v>
      </c>
      <c r="C124">
        <v>4.84</v>
      </c>
      <c r="D124"/>
    </row>
    <row r="125" spans="1:40" ht="14.25" hidden="1" customHeight="1" x14ac:dyDescent="0.25">
      <c r="A125" s="1"/>
      <c r="B125" s="2" t="s">
        <v>149</v>
      </c>
      <c r="C125">
        <v>23.07</v>
      </c>
      <c r="D125"/>
    </row>
    <row r="126" spans="1:40" ht="14.25" hidden="1" customHeight="1" x14ac:dyDescent="0.25">
      <c r="A126" s="1"/>
      <c r="B126" s="2" t="s">
        <v>150</v>
      </c>
      <c r="C126">
        <v>4.84</v>
      </c>
      <c r="D126"/>
    </row>
    <row r="127" spans="1:40" ht="14.25" hidden="1" customHeight="1" x14ac:dyDescent="0.25">
      <c r="A127" s="1"/>
      <c r="C127"/>
      <c r="D127"/>
    </row>
    <row r="128" spans="1:40" ht="14.25" customHeight="1" x14ac:dyDescent="0.25">
      <c r="A128" s="35" t="s">
        <v>25</v>
      </c>
      <c r="B128" s="14" t="s">
        <v>391</v>
      </c>
      <c r="C128" s="33">
        <f>SUM(C129:C146)</f>
        <v>193.43</v>
      </c>
      <c r="D128" s="15" t="s">
        <v>427</v>
      </c>
      <c r="E128" s="15" t="s">
        <v>392</v>
      </c>
      <c r="F128" s="15" t="s">
        <v>392</v>
      </c>
      <c r="G128" s="15" t="s">
        <v>392</v>
      </c>
      <c r="H128" s="15" t="s">
        <v>392</v>
      </c>
      <c r="I128" s="15" t="s">
        <v>392</v>
      </c>
      <c r="J128" s="22">
        <v>0.9</v>
      </c>
      <c r="K128" s="15" t="s">
        <v>392</v>
      </c>
      <c r="L128" s="15" t="s">
        <v>392</v>
      </c>
      <c r="M128" s="15" t="s">
        <v>392</v>
      </c>
      <c r="N128" s="15" t="s">
        <v>392</v>
      </c>
      <c r="O128" s="15" t="s">
        <v>392</v>
      </c>
      <c r="P128" s="15" t="s">
        <v>392</v>
      </c>
      <c r="Q128" s="15" t="s">
        <v>392</v>
      </c>
      <c r="R128" s="15" t="s">
        <v>392</v>
      </c>
      <c r="S128" s="15" t="s">
        <v>392</v>
      </c>
      <c r="T128" s="15" t="s">
        <v>392</v>
      </c>
      <c r="U128" s="15" t="s">
        <v>392</v>
      </c>
      <c r="V128" s="15" t="s">
        <v>392</v>
      </c>
      <c r="W128" s="15" t="s">
        <v>392</v>
      </c>
      <c r="X128" s="15" t="s">
        <v>392</v>
      </c>
      <c r="Y128" s="19" t="s">
        <v>392</v>
      </c>
      <c r="Z128" s="19" t="s">
        <v>392</v>
      </c>
      <c r="AA128" s="18" t="s">
        <v>392</v>
      </c>
      <c r="AB128" s="15" t="s">
        <v>392</v>
      </c>
      <c r="AC128" s="21">
        <v>23</v>
      </c>
      <c r="AD128" s="17">
        <v>3.4</v>
      </c>
      <c r="AE128" s="15" t="s">
        <v>409</v>
      </c>
      <c r="AF128" s="15" t="s">
        <v>416</v>
      </c>
      <c r="AG128" s="15" t="s">
        <v>447</v>
      </c>
      <c r="AH128" s="3" t="s">
        <v>450</v>
      </c>
      <c r="AI128" s="3" t="s">
        <v>450</v>
      </c>
      <c r="AJ128" s="3" t="s">
        <v>450</v>
      </c>
      <c r="AK128" s="15" t="s">
        <v>450</v>
      </c>
      <c r="AL128" s="15" t="s">
        <v>450</v>
      </c>
      <c r="AM128" s="15" t="s">
        <v>450</v>
      </c>
      <c r="AN128" s="15"/>
    </row>
    <row r="129" spans="1:4" ht="14.25" hidden="1" customHeight="1" x14ac:dyDescent="0.25">
      <c r="A129" s="1"/>
      <c r="B129" s="2" t="s">
        <v>151</v>
      </c>
      <c r="C129">
        <v>13.44</v>
      </c>
      <c r="D129"/>
    </row>
    <row r="130" spans="1:4" ht="14.25" hidden="1" customHeight="1" x14ac:dyDescent="0.25">
      <c r="A130" s="1"/>
      <c r="B130" s="2" t="s">
        <v>152</v>
      </c>
      <c r="C130">
        <v>4.79</v>
      </c>
      <c r="D130"/>
    </row>
    <row r="131" spans="1:4" ht="14.25" hidden="1" customHeight="1" x14ac:dyDescent="0.25">
      <c r="A131" s="1"/>
      <c r="B131" s="2" t="s">
        <v>153</v>
      </c>
      <c r="C131">
        <v>13.44</v>
      </c>
      <c r="D131"/>
    </row>
    <row r="132" spans="1:4" ht="14.25" hidden="1" customHeight="1" x14ac:dyDescent="0.25">
      <c r="A132" s="1"/>
      <c r="B132" s="2" t="s">
        <v>154</v>
      </c>
      <c r="C132">
        <v>4.8099999999999996</v>
      </c>
      <c r="D132"/>
    </row>
    <row r="133" spans="1:4" ht="14.25" hidden="1" customHeight="1" x14ac:dyDescent="0.25">
      <c r="A133" s="1"/>
      <c r="B133" s="2" t="s">
        <v>155</v>
      </c>
      <c r="C133">
        <v>13.52</v>
      </c>
      <c r="D133"/>
    </row>
    <row r="134" spans="1:4" ht="14.25" hidden="1" customHeight="1" x14ac:dyDescent="0.25">
      <c r="A134" s="1"/>
      <c r="B134" s="2" t="s">
        <v>156</v>
      </c>
      <c r="C134">
        <v>4.8099999999999996</v>
      </c>
      <c r="D134"/>
    </row>
    <row r="135" spans="1:4" ht="14.25" hidden="1" customHeight="1" x14ac:dyDescent="0.25">
      <c r="A135" s="1"/>
      <c r="B135" s="2" t="s">
        <v>157</v>
      </c>
      <c r="C135">
        <v>13.71</v>
      </c>
      <c r="D135"/>
    </row>
    <row r="136" spans="1:4" ht="14.25" hidden="1" customHeight="1" x14ac:dyDescent="0.25">
      <c r="A136" s="1"/>
      <c r="B136" s="2" t="s">
        <v>158</v>
      </c>
      <c r="C136">
        <v>4.84</v>
      </c>
      <c r="D136"/>
    </row>
    <row r="137" spans="1:4" ht="14.25" hidden="1" customHeight="1" x14ac:dyDescent="0.25">
      <c r="A137" s="1"/>
      <c r="B137" s="2" t="s">
        <v>159</v>
      </c>
      <c r="C137">
        <v>13.5</v>
      </c>
      <c r="D137"/>
    </row>
    <row r="138" spans="1:4" ht="14.25" hidden="1" customHeight="1" x14ac:dyDescent="0.25">
      <c r="A138" s="1"/>
      <c r="B138" s="2" t="s">
        <v>160</v>
      </c>
      <c r="C138">
        <v>4.76</v>
      </c>
      <c r="D138"/>
    </row>
    <row r="139" spans="1:4" ht="14.25" hidden="1" customHeight="1" x14ac:dyDescent="0.25">
      <c r="A139" s="1"/>
      <c r="B139" s="2" t="s">
        <v>161</v>
      </c>
      <c r="C139">
        <v>9.86</v>
      </c>
      <c r="D139"/>
    </row>
    <row r="140" spans="1:4" ht="14.25" hidden="1" customHeight="1" x14ac:dyDescent="0.25">
      <c r="A140" s="1"/>
      <c r="B140" s="2" t="s">
        <v>162</v>
      </c>
      <c r="C140">
        <v>2.2999999999999998</v>
      </c>
      <c r="D140"/>
    </row>
    <row r="141" spans="1:4" ht="14.25" hidden="1" customHeight="1" x14ac:dyDescent="0.25">
      <c r="A141" s="1"/>
      <c r="B141" s="2" t="s">
        <v>163</v>
      </c>
      <c r="C141">
        <v>6.01</v>
      </c>
      <c r="D141"/>
    </row>
    <row r="142" spans="1:4" ht="14.25" hidden="1" customHeight="1" x14ac:dyDescent="0.25">
      <c r="A142" s="1"/>
      <c r="B142" s="2" t="s">
        <v>164</v>
      </c>
      <c r="C142">
        <v>5.46</v>
      </c>
      <c r="D142"/>
    </row>
    <row r="143" spans="1:4" ht="14.25" hidden="1" customHeight="1" x14ac:dyDescent="0.25">
      <c r="A143" s="1"/>
      <c r="B143" s="2" t="s">
        <v>165</v>
      </c>
      <c r="C143">
        <v>12.37</v>
      </c>
      <c r="D143"/>
    </row>
    <row r="144" spans="1:4" ht="14.25" hidden="1" customHeight="1" x14ac:dyDescent="0.25">
      <c r="A144" s="1"/>
      <c r="B144" s="2" t="s">
        <v>166</v>
      </c>
      <c r="C144">
        <v>21.34</v>
      </c>
      <c r="D144"/>
    </row>
    <row r="145" spans="1:40" ht="14.25" hidden="1" customHeight="1" x14ac:dyDescent="0.25">
      <c r="A145" s="1"/>
      <c r="B145" s="2" t="s">
        <v>167</v>
      </c>
      <c r="C145">
        <v>7.21</v>
      </c>
      <c r="D145"/>
    </row>
    <row r="146" spans="1:40" ht="14.25" hidden="1" customHeight="1" x14ac:dyDescent="0.25">
      <c r="A146" s="1"/>
      <c r="B146" s="2" t="s">
        <v>168</v>
      </c>
      <c r="C146">
        <v>37.26</v>
      </c>
      <c r="D146"/>
    </row>
    <row r="147" spans="1:40" ht="14.25" hidden="1" customHeight="1" x14ac:dyDescent="0.25">
      <c r="A147" s="1"/>
      <c r="C147"/>
      <c r="D147"/>
    </row>
    <row r="148" spans="1:40" s="44" customFormat="1" ht="14.25" customHeight="1" x14ac:dyDescent="0.25">
      <c r="A148" s="35" t="s">
        <v>26</v>
      </c>
      <c r="B148" s="14" t="s">
        <v>15</v>
      </c>
      <c r="C148" s="33">
        <f>SUM(C149:C151)</f>
        <v>50.85</v>
      </c>
      <c r="D148" s="15" t="s">
        <v>433</v>
      </c>
      <c r="E148" s="16">
        <v>0.8</v>
      </c>
      <c r="F148" s="16">
        <v>0.9</v>
      </c>
      <c r="G148" s="16">
        <v>5</v>
      </c>
      <c r="H148" s="16">
        <v>5</v>
      </c>
      <c r="I148" s="16">
        <f>+G148+H148</f>
        <v>10</v>
      </c>
      <c r="J148" s="17">
        <f>+(G148*E148+H148*F148)/(G148+H148)</f>
        <v>0.85</v>
      </c>
      <c r="K148" s="15">
        <v>28</v>
      </c>
      <c r="L148" s="15">
        <v>2</v>
      </c>
      <c r="M148" s="15">
        <v>0</v>
      </c>
      <c r="N148" s="15">
        <v>0</v>
      </c>
      <c r="O148" s="15">
        <v>0</v>
      </c>
      <c r="P148" s="15">
        <v>1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8">
        <f>+(L148*Otvory!D$1+M148*Otvory!D$2+N148*Otvory!D$3+O148*Otvory!D$4+P148*Otvory!D$5+Q148*Otvory!D$6+R148*Otvory!D$7+S148*Otvory!D$8+T148*Otvory!D$9+U148*Otvory!D$10)</f>
        <v>6.84</v>
      </c>
      <c r="W148" s="18">
        <f>+(L148*Otvory!D$1*Otvory!C$1+M148*Otvory!D$2*Otvory!C$2+N148*Otvory!D$3*Otvory!C$3+O148*Otvory!D$4*Otvory!C$4+P148*Otvory!D$5*Otvory!C$5)/V148</f>
        <v>1.9842105263157894</v>
      </c>
      <c r="X148" s="17">
        <v>2.8</v>
      </c>
      <c r="Y148" s="19">
        <f>SQRT(W148/X148) * V148/C148</f>
        <v>0.11323482243809227</v>
      </c>
      <c r="Z148" s="19">
        <v>0.16</v>
      </c>
      <c r="AA148" s="20">
        <f>+C148*Z148/(L148*Otvory!D$1*SQRT(Otvory!C$1)+M148*Otvory!D$2*SQRT(Otvory!C$2)+N148*Otvory!D$3*SQRT(Otvory!C$3)+O148*Otvory!D$4*SQRT(Otvory!C$4)+P148*Otvory!D$5*SQRT(Otvory!C$5))</f>
        <v>0.84878803403514691</v>
      </c>
      <c r="AB148" s="16">
        <v>1</v>
      </c>
      <c r="AC148" s="21">
        <f>+I148*J148*AA148*AB148</f>
        <v>7.2146982892987488</v>
      </c>
      <c r="AD148" s="17">
        <v>3.4</v>
      </c>
      <c r="AE148" s="15" t="s">
        <v>408</v>
      </c>
      <c r="AF148" s="15" t="s">
        <v>482</v>
      </c>
      <c r="AG148" s="15" t="s">
        <v>447</v>
      </c>
      <c r="AH148" s="15" t="s">
        <v>450</v>
      </c>
      <c r="AI148" s="15" t="s">
        <v>450</v>
      </c>
      <c r="AJ148" s="15" t="s">
        <v>450</v>
      </c>
      <c r="AK148" s="15" t="s">
        <v>450</v>
      </c>
      <c r="AL148" s="15" t="s">
        <v>450</v>
      </c>
      <c r="AM148" s="15" t="s">
        <v>450</v>
      </c>
      <c r="AN148" s="15"/>
    </row>
    <row r="149" spans="1:40" ht="14.25" hidden="1" customHeight="1" x14ac:dyDescent="0.25">
      <c r="A149" s="1"/>
      <c r="B149" s="2" t="s">
        <v>169</v>
      </c>
      <c r="C149">
        <v>7.72</v>
      </c>
      <c r="D149"/>
    </row>
    <row r="150" spans="1:40" ht="14.25" hidden="1" customHeight="1" x14ac:dyDescent="0.25">
      <c r="A150" s="1"/>
      <c r="B150" s="2" t="s">
        <v>171</v>
      </c>
      <c r="C150">
        <v>28.02</v>
      </c>
      <c r="D150"/>
    </row>
    <row r="151" spans="1:40" ht="14.25" hidden="1" customHeight="1" x14ac:dyDescent="0.25">
      <c r="A151" s="1"/>
      <c r="B151" s="2" t="s">
        <v>251</v>
      </c>
      <c r="C151">
        <v>15.11</v>
      </c>
      <c r="D151"/>
    </row>
    <row r="152" spans="1:40" ht="14.25" hidden="1" customHeight="1" x14ac:dyDescent="0.25">
      <c r="A152" s="1"/>
      <c r="C152"/>
      <c r="D152"/>
    </row>
    <row r="153" spans="1:40" ht="14.25" customHeight="1" x14ac:dyDescent="0.25">
      <c r="A153" s="35" t="s">
        <v>27</v>
      </c>
      <c r="B153" s="14" t="s">
        <v>16</v>
      </c>
      <c r="C153" s="33">
        <f>+C154</f>
        <v>10.6</v>
      </c>
      <c r="D153" s="15" t="s">
        <v>424</v>
      </c>
      <c r="E153" s="16">
        <v>0.9</v>
      </c>
      <c r="F153" s="16">
        <v>0.9</v>
      </c>
      <c r="G153" s="16">
        <v>15</v>
      </c>
      <c r="H153" s="16">
        <v>2</v>
      </c>
      <c r="I153" s="16">
        <f>+G153+H153</f>
        <v>17</v>
      </c>
      <c r="J153" s="17">
        <f>+(G153*E153+H153*F153)/(G153+H153)</f>
        <v>0.9</v>
      </c>
      <c r="K153" s="15">
        <v>10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8">
        <f>+(L153*Otvory!D$1+M153*Otvory!D$2+N153*Otvory!D$3+O153*Otvory!D$4+P153*Otvory!D$5+Q153*Otvory!D$6+R153*Otvory!D$7+S153*Otvory!D$8+T153*Otvory!D$9+U153*Otvory!D$10)</f>
        <v>0</v>
      </c>
      <c r="W153" s="18">
        <v>0</v>
      </c>
      <c r="X153" s="17">
        <v>2.8</v>
      </c>
      <c r="Y153" s="19">
        <v>5.0000000000000001E-3</v>
      </c>
      <c r="Z153" s="19">
        <v>7.0000000000000001E-3</v>
      </c>
      <c r="AA153" s="20">
        <f>Z153/0.005/SQRT(X153)</f>
        <v>0.83666002653407545</v>
      </c>
      <c r="AB153" s="16">
        <v>1</v>
      </c>
      <c r="AC153" s="21">
        <f>+I153*J153*AA153*AB153</f>
        <v>12.800898405971354</v>
      </c>
      <c r="AD153" s="17">
        <v>3.4</v>
      </c>
      <c r="AE153" s="15" t="s">
        <v>408</v>
      </c>
      <c r="AF153" s="15" t="s">
        <v>416</v>
      </c>
      <c r="AG153" s="15" t="s">
        <v>447</v>
      </c>
      <c r="AH153" s="3" t="s">
        <v>450</v>
      </c>
      <c r="AI153" s="3" t="s">
        <v>450</v>
      </c>
      <c r="AJ153" s="3" t="s">
        <v>450</v>
      </c>
      <c r="AK153" s="15" t="s">
        <v>450</v>
      </c>
      <c r="AL153" s="15" t="s">
        <v>450</v>
      </c>
      <c r="AM153" s="15" t="s">
        <v>450</v>
      </c>
      <c r="AN153" s="15"/>
    </row>
    <row r="154" spans="1:40" ht="14.25" hidden="1" customHeight="1" x14ac:dyDescent="0.25">
      <c r="A154" s="1"/>
      <c r="B154" s="2" t="s">
        <v>383</v>
      </c>
      <c r="C154">
        <v>10.6</v>
      </c>
      <c r="D154"/>
    </row>
    <row r="155" spans="1:40" ht="14.25" hidden="1" customHeight="1" x14ac:dyDescent="0.25">
      <c r="A155" s="1"/>
      <c r="C155"/>
      <c r="D155"/>
    </row>
    <row r="156" spans="1:40" ht="14.25" customHeight="1" x14ac:dyDescent="0.25">
      <c r="A156" s="35" t="s">
        <v>28</v>
      </c>
      <c r="B156" s="14" t="s">
        <v>391</v>
      </c>
      <c r="C156" s="33">
        <f>SUM(C157:C177)</f>
        <v>192.98000000000002</v>
      </c>
      <c r="D156" s="15" t="s">
        <v>427</v>
      </c>
      <c r="E156" s="15" t="s">
        <v>392</v>
      </c>
      <c r="F156" s="15" t="s">
        <v>392</v>
      </c>
      <c r="G156" s="15" t="s">
        <v>392</v>
      </c>
      <c r="H156" s="15" t="s">
        <v>392</v>
      </c>
      <c r="I156" s="15" t="s">
        <v>392</v>
      </c>
      <c r="J156" s="22">
        <v>0.9</v>
      </c>
      <c r="K156" s="15" t="s">
        <v>392</v>
      </c>
      <c r="L156" s="15" t="s">
        <v>392</v>
      </c>
      <c r="M156" s="15" t="s">
        <v>392</v>
      </c>
      <c r="N156" s="15" t="s">
        <v>392</v>
      </c>
      <c r="O156" s="15" t="s">
        <v>392</v>
      </c>
      <c r="P156" s="15" t="s">
        <v>392</v>
      </c>
      <c r="Q156" s="15" t="s">
        <v>392</v>
      </c>
      <c r="R156" s="15" t="s">
        <v>392</v>
      </c>
      <c r="S156" s="15" t="s">
        <v>392</v>
      </c>
      <c r="T156" s="15" t="s">
        <v>392</v>
      </c>
      <c r="U156" s="15" t="s">
        <v>392</v>
      </c>
      <c r="V156" s="15" t="s">
        <v>392</v>
      </c>
      <c r="W156" s="15" t="s">
        <v>392</v>
      </c>
      <c r="X156" s="15" t="s">
        <v>392</v>
      </c>
      <c r="Y156" s="19" t="s">
        <v>392</v>
      </c>
      <c r="Z156" s="19" t="s">
        <v>392</v>
      </c>
      <c r="AA156" s="18" t="s">
        <v>392</v>
      </c>
      <c r="AB156" s="15" t="s">
        <v>392</v>
      </c>
      <c r="AC156" s="21">
        <v>23</v>
      </c>
      <c r="AD156" s="17">
        <v>3.4</v>
      </c>
      <c r="AE156" s="15" t="s">
        <v>409</v>
      </c>
      <c r="AF156" s="15" t="s">
        <v>416</v>
      </c>
      <c r="AG156" s="15" t="s">
        <v>447</v>
      </c>
      <c r="AH156" s="3" t="s">
        <v>450</v>
      </c>
      <c r="AI156" s="3" t="s">
        <v>450</v>
      </c>
      <c r="AJ156" s="3" t="s">
        <v>450</v>
      </c>
      <c r="AK156" s="15" t="s">
        <v>450</v>
      </c>
      <c r="AL156" s="15" t="s">
        <v>450</v>
      </c>
      <c r="AM156" s="15" t="s">
        <v>450</v>
      </c>
      <c r="AN156" s="15"/>
    </row>
    <row r="157" spans="1:40" ht="14.25" hidden="1" customHeight="1" x14ac:dyDescent="0.25">
      <c r="A157" s="1"/>
      <c r="B157" s="2" t="s">
        <v>172</v>
      </c>
      <c r="C157">
        <v>13.54</v>
      </c>
      <c r="D157"/>
    </row>
    <row r="158" spans="1:40" ht="14.25" hidden="1" customHeight="1" x14ac:dyDescent="0.25">
      <c r="A158" s="1"/>
      <c r="B158" s="2" t="s">
        <v>173</v>
      </c>
      <c r="C158">
        <v>4.76</v>
      </c>
      <c r="D158"/>
    </row>
    <row r="159" spans="1:40" ht="14.25" hidden="1" customHeight="1" x14ac:dyDescent="0.25">
      <c r="A159" s="1"/>
      <c r="B159" s="2" t="s">
        <v>174</v>
      </c>
      <c r="C159">
        <v>13.51</v>
      </c>
      <c r="D159"/>
    </row>
    <row r="160" spans="1:40" ht="14.25" hidden="1" customHeight="1" x14ac:dyDescent="0.25">
      <c r="A160" s="1"/>
      <c r="B160" s="2" t="s">
        <v>175</v>
      </c>
      <c r="C160">
        <v>4.78</v>
      </c>
      <c r="D160"/>
    </row>
    <row r="161" spans="1:4" ht="14.25" hidden="1" customHeight="1" x14ac:dyDescent="0.25">
      <c r="A161" s="1"/>
      <c r="B161" s="2" t="s">
        <v>176</v>
      </c>
      <c r="C161">
        <v>13.52</v>
      </c>
      <c r="D161"/>
    </row>
    <row r="162" spans="1:4" ht="14.25" hidden="1" customHeight="1" x14ac:dyDescent="0.25">
      <c r="A162" s="1"/>
      <c r="B162" s="2" t="s">
        <v>177</v>
      </c>
      <c r="C162">
        <v>4.83</v>
      </c>
      <c r="D162"/>
    </row>
    <row r="163" spans="1:4" ht="14.25" hidden="1" customHeight="1" x14ac:dyDescent="0.25">
      <c r="A163" s="1"/>
      <c r="B163" s="2" t="s">
        <v>178</v>
      </c>
      <c r="C163">
        <v>13.52</v>
      </c>
      <c r="D163"/>
    </row>
    <row r="164" spans="1:4" ht="14.25" hidden="1" customHeight="1" x14ac:dyDescent="0.25">
      <c r="A164" s="1"/>
      <c r="B164" s="2" t="s">
        <v>179</v>
      </c>
      <c r="C164">
        <v>4.82</v>
      </c>
      <c r="D164"/>
    </row>
    <row r="165" spans="1:4" ht="14.25" hidden="1" customHeight="1" x14ac:dyDescent="0.25">
      <c r="A165" s="1"/>
      <c r="B165" s="2" t="s">
        <v>180</v>
      </c>
      <c r="C165">
        <v>13.52</v>
      </c>
      <c r="D165"/>
    </row>
    <row r="166" spans="1:4" ht="14.25" hidden="1" customHeight="1" x14ac:dyDescent="0.25">
      <c r="A166" s="1"/>
      <c r="B166" s="2" t="s">
        <v>181</v>
      </c>
      <c r="C166">
        <v>4.79</v>
      </c>
      <c r="D166"/>
    </row>
    <row r="167" spans="1:4" ht="14.25" hidden="1" customHeight="1" x14ac:dyDescent="0.25">
      <c r="A167" s="1"/>
      <c r="B167" s="2" t="s">
        <v>182</v>
      </c>
      <c r="C167">
        <v>3.82</v>
      </c>
      <c r="D167"/>
    </row>
    <row r="168" spans="1:4" ht="14.25" hidden="1" customHeight="1" x14ac:dyDescent="0.25">
      <c r="A168" s="1"/>
      <c r="B168" s="2" t="s">
        <v>183</v>
      </c>
      <c r="C168">
        <v>2.59</v>
      </c>
      <c r="D168"/>
    </row>
    <row r="169" spans="1:4" ht="14.25" hidden="1" customHeight="1" x14ac:dyDescent="0.25">
      <c r="A169" s="1"/>
      <c r="B169" s="2" t="s">
        <v>184</v>
      </c>
      <c r="C169">
        <v>15.28</v>
      </c>
      <c r="D169"/>
    </row>
    <row r="170" spans="1:4" ht="14.25" hidden="1" customHeight="1" x14ac:dyDescent="0.25">
      <c r="A170" s="1"/>
      <c r="B170" s="2" t="s">
        <v>185</v>
      </c>
      <c r="C170">
        <v>6.98</v>
      </c>
      <c r="D170"/>
    </row>
    <row r="171" spans="1:4" ht="14.25" hidden="1" customHeight="1" x14ac:dyDescent="0.25">
      <c r="A171" s="1"/>
      <c r="B171" s="2" t="s">
        <v>186</v>
      </c>
      <c r="C171">
        <v>14.21</v>
      </c>
      <c r="D171"/>
    </row>
    <row r="172" spans="1:4" ht="14.25" hidden="1" customHeight="1" x14ac:dyDescent="0.25">
      <c r="A172" s="1"/>
      <c r="B172" s="2" t="s">
        <v>187</v>
      </c>
      <c r="C172">
        <v>1.61</v>
      </c>
      <c r="D172"/>
    </row>
    <row r="173" spans="1:4" ht="14.25" hidden="1" customHeight="1" x14ac:dyDescent="0.25">
      <c r="A173" s="1"/>
      <c r="B173" s="2" t="s">
        <v>188</v>
      </c>
      <c r="C173">
        <v>1.52</v>
      </c>
      <c r="D173"/>
    </row>
    <row r="174" spans="1:4" ht="14.25" hidden="1" customHeight="1" x14ac:dyDescent="0.25">
      <c r="A174" s="1"/>
      <c r="B174" s="2" t="s">
        <v>189</v>
      </c>
      <c r="C174">
        <v>2.93</v>
      </c>
      <c r="D174"/>
    </row>
    <row r="175" spans="1:4" ht="14.25" hidden="1" customHeight="1" x14ac:dyDescent="0.25">
      <c r="A175" s="1"/>
      <c r="B175" s="2" t="s">
        <v>190</v>
      </c>
      <c r="C175">
        <v>2.65</v>
      </c>
      <c r="D175"/>
    </row>
    <row r="176" spans="1:4" ht="14.25" hidden="1" customHeight="1" x14ac:dyDescent="0.25">
      <c r="A176" s="1"/>
      <c r="B176" s="2" t="s">
        <v>191</v>
      </c>
      <c r="C176">
        <v>12.5</v>
      </c>
      <c r="D176"/>
    </row>
    <row r="177" spans="1:40" ht="14.25" hidden="1" customHeight="1" x14ac:dyDescent="0.25">
      <c r="A177" s="1"/>
      <c r="B177" s="2" t="s">
        <v>170</v>
      </c>
      <c r="C177">
        <v>37.299999999999997</v>
      </c>
      <c r="D177"/>
    </row>
    <row r="178" spans="1:40" ht="14.25" hidden="1" customHeight="1" x14ac:dyDescent="0.25">
      <c r="A178" s="1"/>
      <c r="C178"/>
      <c r="D178"/>
    </row>
    <row r="179" spans="1:40" ht="14.25" customHeight="1" x14ac:dyDescent="0.25">
      <c r="A179" s="35" t="s">
        <v>29</v>
      </c>
      <c r="B179" s="14" t="s">
        <v>36</v>
      </c>
      <c r="C179" s="33">
        <f>SUM(C180:C187)</f>
        <v>110.52999999999999</v>
      </c>
      <c r="D179" s="15" t="s">
        <v>434</v>
      </c>
      <c r="E179" s="16">
        <v>1</v>
      </c>
      <c r="F179" s="16">
        <v>0.9</v>
      </c>
      <c r="G179" s="16">
        <v>35</v>
      </c>
      <c r="H179" s="16">
        <v>5</v>
      </c>
      <c r="I179" s="16">
        <f>+G179+H179</f>
        <v>40</v>
      </c>
      <c r="J179" s="17">
        <f>+(G179*E179+H179*F179)/(G179+H179)</f>
        <v>0.98750000000000004</v>
      </c>
      <c r="K179" s="15">
        <v>20</v>
      </c>
      <c r="L179" s="15">
        <v>6</v>
      </c>
      <c r="M179" s="15">
        <v>0</v>
      </c>
      <c r="N179" s="15">
        <v>10</v>
      </c>
      <c r="O179" s="15">
        <v>1</v>
      </c>
      <c r="P179" s="15">
        <v>0</v>
      </c>
      <c r="Q179" s="15">
        <v>0</v>
      </c>
      <c r="R179" s="15">
        <v>0</v>
      </c>
      <c r="S179" s="15">
        <v>0</v>
      </c>
      <c r="T179" s="15">
        <v>1</v>
      </c>
      <c r="U179" s="15">
        <v>0</v>
      </c>
      <c r="V179" s="18">
        <f>+(L179*Otvory!D$1+M179*Otvory!D$2+N179*Otvory!D$3+O179*Otvory!D$4+P179*Otvory!D$5+Q179*Otvory!D$6+R179*Otvory!D$7+S179*Otvory!D$8+T179*Otvory!D$9+U179*Otvory!D$10)</f>
        <v>16.900000000000002</v>
      </c>
      <c r="W179" s="18">
        <f>+(L179*Otvory!D$1*Otvory!C$1+M179*Otvory!D$2*Otvory!C$2+N179*Otvory!D$3*Otvory!C$3+O179*Otvory!D$4*Otvory!C$4+P179*Otvory!D$5*Otvory!C$5)/V179</f>
        <v>1.1236686390532544</v>
      </c>
      <c r="X179" s="17">
        <v>2.8</v>
      </c>
      <c r="Y179" s="19">
        <f>SQRT(W179/X179) * V179/C179</f>
        <v>9.68604871557108E-2</v>
      </c>
      <c r="Z179" s="19">
        <v>0.14000000000000001</v>
      </c>
      <c r="AA179" s="20">
        <f>+C179*Z179/(L179*Otvory!D$1*SQRT(Otvory!C$1)+M179*Otvory!D$2*SQRT(Otvory!C$2)+N179*Otvory!D$3*SQRT(Otvory!C$3)+O179*Otvory!D$4*SQRT(Otvory!C$4)+P179*Otvory!D$5*SQRT(Otvory!C$5))</f>
        <v>0.92944614203751541</v>
      </c>
      <c r="AB179" s="16">
        <v>1</v>
      </c>
      <c r="AC179" s="21">
        <f>+I179*J179*AA179*AB179</f>
        <v>36.713122610481861</v>
      </c>
      <c r="AD179" s="17">
        <v>6.5</v>
      </c>
      <c r="AE179" s="15" t="s">
        <v>411</v>
      </c>
      <c r="AF179" s="15" t="s">
        <v>419</v>
      </c>
      <c r="AG179" s="15" t="s">
        <v>447</v>
      </c>
      <c r="AH179" s="13" t="s">
        <v>455</v>
      </c>
      <c r="AI179" s="13" t="s">
        <v>455</v>
      </c>
      <c r="AJ179" s="13" t="s">
        <v>455</v>
      </c>
      <c r="AK179" s="15" t="s">
        <v>450</v>
      </c>
      <c r="AL179" s="15" t="s">
        <v>450</v>
      </c>
      <c r="AM179" s="15" t="s">
        <v>450</v>
      </c>
      <c r="AN179" s="15"/>
    </row>
    <row r="180" spans="1:40" ht="14.25" hidden="1" customHeight="1" x14ac:dyDescent="0.25">
      <c r="A180" s="1"/>
      <c r="B180" s="2" t="s">
        <v>192</v>
      </c>
      <c r="C180">
        <v>13.09</v>
      </c>
      <c r="D180"/>
    </row>
    <row r="181" spans="1:40" ht="14.25" hidden="1" customHeight="1" x14ac:dyDescent="0.25">
      <c r="A181" s="1"/>
      <c r="B181" s="2" t="s">
        <v>193</v>
      </c>
      <c r="C181">
        <v>21.23</v>
      </c>
      <c r="D181"/>
    </row>
    <row r="182" spans="1:40" ht="14.25" hidden="1" customHeight="1" x14ac:dyDescent="0.25">
      <c r="A182" s="1"/>
      <c r="B182" s="2" t="s">
        <v>194</v>
      </c>
      <c r="C182">
        <v>21.31</v>
      </c>
      <c r="D182"/>
    </row>
    <row r="183" spans="1:40" ht="14.25" hidden="1" customHeight="1" x14ac:dyDescent="0.25">
      <c r="A183" s="1"/>
      <c r="B183" s="2" t="s">
        <v>195</v>
      </c>
      <c r="C183">
        <v>1.77</v>
      </c>
      <c r="D183"/>
    </row>
    <row r="184" spans="1:40" ht="14.25" hidden="1" customHeight="1" x14ac:dyDescent="0.25">
      <c r="A184" s="1"/>
      <c r="B184" s="2" t="s">
        <v>196</v>
      </c>
      <c r="C184">
        <v>23.46</v>
      </c>
      <c r="D184"/>
    </row>
    <row r="185" spans="1:40" ht="14.25" hidden="1" customHeight="1" x14ac:dyDescent="0.25">
      <c r="A185" s="1"/>
      <c r="B185" s="2" t="s">
        <v>197</v>
      </c>
      <c r="C185">
        <v>9.02</v>
      </c>
      <c r="D185"/>
    </row>
    <row r="186" spans="1:40" ht="14.25" hidden="1" customHeight="1" x14ac:dyDescent="0.25">
      <c r="A186" s="1"/>
      <c r="B186" s="2" t="s">
        <v>198</v>
      </c>
      <c r="C186">
        <v>9.0399999999999991</v>
      </c>
      <c r="D186"/>
    </row>
    <row r="187" spans="1:40" ht="14.25" hidden="1" customHeight="1" x14ac:dyDescent="0.25">
      <c r="A187" s="1"/>
      <c r="B187" s="2" t="s">
        <v>199</v>
      </c>
      <c r="C187">
        <v>11.61</v>
      </c>
      <c r="D187"/>
    </row>
    <row r="188" spans="1:40" ht="14.25" hidden="1" customHeight="1" x14ac:dyDescent="0.25">
      <c r="A188" s="1"/>
      <c r="C188"/>
      <c r="D188"/>
    </row>
    <row r="189" spans="1:40" ht="14.25" customHeight="1" x14ac:dyDescent="0.25">
      <c r="A189" s="35" t="s">
        <v>30</v>
      </c>
      <c r="B189" s="14" t="s">
        <v>37</v>
      </c>
      <c r="C189" s="33">
        <f>+C190</f>
        <v>23.79</v>
      </c>
      <c r="D189" s="15" t="s">
        <v>435</v>
      </c>
      <c r="E189" s="16">
        <v>1.05</v>
      </c>
      <c r="F189" s="16">
        <v>0.9</v>
      </c>
      <c r="G189" s="16">
        <v>75</v>
      </c>
      <c r="H189" s="16">
        <v>2</v>
      </c>
      <c r="I189" s="16">
        <f>+G189+H189</f>
        <v>77</v>
      </c>
      <c r="J189" s="17">
        <f>+(G189*E189+H189*F189)/(G189+H189)</f>
        <v>1.046103896103896</v>
      </c>
      <c r="K189" s="15">
        <v>24</v>
      </c>
      <c r="L189" s="15">
        <v>0</v>
      </c>
      <c r="M189" s="15">
        <v>0</v>
      </c>
      <c r="N189" s="15">
        <v>0</v>
      </c>
      <c r="O189" s="15">
        <v>1</v>
      </c>
      <c r="P189" s="15">
        <v>0</v>
      </c>
      <c r="Q189" s="15">
        <v>0</v>
      </c>
      <c r="R189" s="15">
        <v>0</v>
      </c>
      <c r="S189" s="15">
        <v>0</v>
      </c>
      <c r="T189" s="15">
        <v>1</v>
      </c>
      <c r="U189" s="15">
        <v>0</v>
      </c>
      <c r="V189" s="18">
        <f>+(L189*Otvory!D$1+M189*Otvory!D$2+N189*Otvory!D$3+O189*Otvory!D$4+P189*Otvory!D$5+Q189*Otvory!D$6+R189*Otvory!D$7+S189*Otvory!D$8+T189*Otvory!D$9+U189*Otvory!D$10)</f>
        <v>3.4000000000000004</v>
      </c>
      <c r="W189" s="18">
        <f>+(L189*Otvory!D$1*Otvory!C$1+M189*Otvory!D$2*Otvory!C$2+N189*Otvory!D$3*Otvory!C$3+O189*Otvory!D$4*Otvory!C$4+P189*Otvory!D$5*Otvory!C$5)/V189</f>
        <v>1.0588235294117647</v>
      </c>
      <c r="X189" s="17">
        <v>2.8</v>
      </c>
      <c r="Y189" s="19">
        <f>SQRT(W189/X189) * V189/C189</f>
        <v>8.7885504720954577E-2</v>
      </c>
      <c r="Z189" s="19">
        <v>0.13200000000000001</v>
      </c>
      <c r="AA189" s="20">
        <f>+C189*Z189/(L189*Otvory!D$1*SQRT(Otvory!C$1)+M189*Otvory!D$2*SQRT(Otvory!C$2)+N189*Otvory!D$3*SQRT(Otvory!C$3)+O189*Otvory!D$4*SQRT(Otvory!C$4)+P189*Otvory!D$5*SQRT(Otvory!C$5))</f>
        <v>1.2336184904580507</v>
      </c>
      <c r="AB189" s="16">
        <v>1</v>
      </c>
      <c r="AC189" s="21">
        <f>+I189*J189*AA189*AB189</f>
        <v>99.367969406395986</v>
      </c>
      <c r="AD189" s="17" t="s">
        <v>481</v>
      </c>
      <c r="AE189" s="15" t="s">
        <v>409</v>
      </c>
      <c r="AF189" s="15" t="s">
        <v>419</v>
      </c>
      <c r="AG189" s="15" t="s">
        <v>447</v>
      </c>
      <c r="AH189" s="3" t="s">
        <v>450</v>
      </c>
      <c r="AI189" s="3" t="s">
        <v>450</v>
      </c>
      <c r="AJ189" s="3" t="s">
        <v>450</v>
      </c>
      <c r="AK189" s="15" t="s">
        <v>450</v>
      </c>
      <c r="AL189" s="15" t="s">
        <v>450</v>
      </c>
      <c r="AM189" s="15" t="s">
        <v>450</v>
      </c>
      <c r="AN189" s="15"/>
    </row>
    <row r="190" spans="1:40" ht="14.25" hidden="1" customHeight="1" x14ac:dyDescent="0.25">
      <c r="A190" s="1"/>
      <c r="B190" s="2" t="s">
        <v>200</v>
      </c>
      <c r="C190">
        <v>23.79</v>
      </c>
      <c r="D190"/>
    </row>
    <row r="191" spans="1:40" ht="14.25" hidden="1" customHeight="1" x14ac:dyDescent="0.25">
      <c r="A191" s="1"/>
      <c r="C191"/>
      <c r="D191"/>
    </row>
    <row r="192" spans="1:40" s="44" customFormat="1" ht="14.25" customHeight="1" x14ac:dyDescent="0.25">
      <c r="A192" s="35" t="s">
        <v>31</v>
      </c>
      <c r="B192" s="14" t="s">
        <v>15</v>
      </c>
      <c r="C192" s="33">
        <f>SUM(C193:C198)</f>
        <v>158.75</v>
      </c>
      <c r="D192" s="15" t="s">
        <v>437</v>
      </c>
      <c r="E192" s="16">
        <v>0.8</v>
      </c>
      <c r="F192" s="16">
        <v>0.9</v>
      </c>
      <c r="G192" s="16">
        <v>5</v>
      </c>
      <c r="H192" s="16">
        <v>5</v>
      </c>
      <c r="I192" s="16">
        <f>+G192+H192</f>
        <v>10</v>
      </c>
      <c r="J192" s="17">
        <f>+(G192*E192+H192*F192)/(G192+H192)</f>
        <v>0.85</v>
      </c>
      <c r="K192" s="15">
        <v>60</v>
      </c>
      <c r="L192" s="15">
        <v>8</v>
      </c>
      <c r="M192" s="15">
        <v>0</v>
      </c>
      <c r="N192" s="15">
        <v>0</v>
      </c>
      <c r="O192" s="15">
        <v>0</v>
      </c>
      <c r="P192" s="15">
        <v>1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8">
        <f>+(L192*Otvory!D$1+M192*Otvory!D$2+N192*Otvory!D$3+O192*Otvory!D$4+P192*Otvory!D$5+Q192*Otvory!D$6+R192*Otvory!D$7+S192*Otvory!D$8+T192*Otvory!D$9+U192*Otvory!D$10)</f>
        <v>14.940000000000001</v>
      </c>
      <c r="W192" s="18">
        <f>+(L192*Otvory!D$1*Otvory!C$1+M192*Otvory!D$2*Otvory!C$2+N192*Otvory!D$3*Otvory!C$3+O192*Otvory!D$4*Otvory!C$4+P192*Otvory!D$5*Otvory!C$5)/V192</f>
        <v>1.7216867469879518</v>
      </c>
      <c r="X192" s="17">
        <v>2.8</v>
      </c>
      <c r="Y192" s="19">
        <f>SQRT(W192/X192) * V192/C192</f>
        <v>7.3796355793329563E-2</v>
      </c>
      <c r="Z192" s="19">
        <v>0.13</v>
      </c>
      <c r="AA192" s="20">
        <f>+C192*Z192/(L192*Otvory!D$1*SQRT(Otvory!C$1)+M192*Otvory!D$2*SQRT(Otvory!C$2)+N192*Otvory!D$3*SQRT(Otvory!C$3)+O192*Otvory!D$4*SQRT(Otvory!C$4)+P192*Otvory!D$5*SQRT(Otvory!C$5))</f>
        <v>1.0580150889757571</v>
      </c>
      <c r="AB192" s="16">
        <v>1</v>
      </c>
      <c r="AC192" s="21">
        <f>+I192*J192*AA192*AB192</f>
        <v>8.9931282562939359</v>
      </c>
      <c r="AD192" s="17">
        <v>6.5</v>
      </c>
      <c r="AE192" s="15" t="s">
        <v>408</v>
      </c>
      <c r="AF192" s="15" t="s">
        <v>482</v>
      </c>
      <c r="AG192" s="15" t="s">
        <v>447</v>
      </c>
      <c r="AH192" s="15" t="s">
        <v>450</v>
      </c>
      <c r="AI192" s="15" t="s">
        <v>450</v>
      </c>
      <c r="AJ192" s="15" t="s">
        <v>450</v>
      </c>
      <c r="AK192" s="15" t="s">
        <v>450</v>
      </c>
      <c r="AL192" s="15" t="s">
        <v>450</v>
      </c>
      <c r="AM192" s="15" t="s">
        <v>450</v>
      </c>
      <c r="AN192" s="15"/>
    </row>
    <row r="193" spans="1:40" ht="14.25" hidden="1" customHeight="1" x14ac:dyDescent="0.25">
      <c r="A193" s="1"/>
      <c r="B193" s="2" t="s">
        <v>201</v>
      </c>
      <c r="C193">
        <v>33.380000000000003</v>
      </c>
      <c r="D193"/>
    </row>
    <row r="194" spans="1:40" ht="14.25" hidden="1" customHeight="1" x14ac:dyDescent="0.25">
      <c r="A194" s="1"/>
      <c r="B194" s="2" t="s">
        <v>202</v>
      </c>
      <c r="C194">
        <v>7.2</v>
      </c>
      <c r="D194"/>
    </row>
    <row r="195" spans="1:40" ht="14.25" hidden="1" customHeight="1" x14ac:dyDescent="0.25">
      <c r="A195" s="1"/>
      <c r="B195" s="2" t="s">
        <v>378</v>
      </c>
      <c r="C195">
        <v>58.48</v>
      </c>
      <c r="D195"/>
    </row>
    <row r="196" spans="1:40" ht="14.25" hidden="1" customHeight="1" x14ac:dyDescent="0.25">
      <c r="A196" s="1"/>
      <c r="B196" s="2" t="s">
        <v>262</v>
      </c>
      <c r="C196">
        <v>7.2</v>
      </c>
      <c r="D196"/>
    </row>
    <row r="197" spans="1:40" ht="14.25" hidden="1" customHeight="1" x14ac:dyDescent="0.25">
      <c r="A197" s="1"/>
      <c r="B197" s="2" t="s">
        <v>321</v>
      </c>
      <c r="C197">
        <v>45.29</v>
      </c>
      <c r="D197"/>
    </row>
    <row r="198" spans="1:40" ht="14.25" hidden="1" customHeight="1" x14ac:dyDescent="0.25">
      <c r="A198" s="1"/>
      <c r="B198" s="2" t="s">
        <v>324</v>
      </c>
      <c r="C198">
        <v>7.2</v>
      </c>
      <c r="D198"/>
    </row>
    <row r="199" spans="1:40" ht="14.25" hidden="1" customHeight="1" x14ac:dyDescent="0.25">
      <c r="A199" s="1"/>
      <c r="C199"/>
      <c r="D199"/>
    </row>
    <row r="200" spans="1:40" ht="14.25" customHeight="1" x14ac:dyDescent="0.25">
      <c r="A200" s="35" t="s">
        <v>38</v>
      </c>
      <c r="B200" s="14" t="s">
        <v>391</v>
      </c>
      <c r="C200" s="33">
        <f>SUM(C201:C203)</f>
        <v>57.28</v>
      </c>
      <c r="D200" s="15" t="s">
        <v>436</v>
      </c>
      <c r="E200" s="15" t="s">
        <v>392</v>
      </c>
      <c r="F200" s="15" t="s">
        <v>392</v>
      </c>
      <c r="G200" s="15" t="s">
        <v>392</v>
      </c>
      <c r="H200" s="15" t="s">
        <v>392</v>
      </c>
      <c r="I200" s="15" t="s">
        <v>392</v>
      </c>
      <c r="J200" s="22">
        <v>0.9</v>
      </c>
      <c r="K200" s="15" t="s">
        <v>392</v>
      </c>
      <c r="L200" s="15" t="s">
        <v>392</v>
      </c>
      <c r="M200" s="15" t="s">
        <v>392</v>
      </c>
      <c r="N200" s="15" t="s">
        <v>392</v>
      </c>
      <c r="O200" s="15" t="s">
        <v>392</v>
      </c>
      <c r="P200" s="15" t="s">
        <v>392</v>
      </c>
      <c r="Q200" s="15" t="s">
        <v>392</v>
      </c>
      <c r="R200" s="15" t="s">
        <v>392</v>
      </c>
      <c r="S200" s="15" t="s">
        <v>392</v>
      </c>
      <c r="T200" s="15" t="s">
        <v>392</v>
      </c>
      <c r="U200" s="15" t="s">
        <v>392</v>
      </c>
      <c r="V200" s="15" t="s">
        <v>392</v>
      </c>
      <c r="W200" s="15" t="s">
        <v>392</v>
      </c>
      <c r="X200" s="15" t="s">
        <v>392</v>
      </c>
      <c r="Y200" s="19" t="s">
        <v>392</v>
      </c>
      <c r="Z200" s="19" t="s">
        <v>392</v>
      </c>
      <c r="AA200" s="18" t="s">
        <v>392</v>
      </c>
      <c r="AB200" s="15" t="s">
        <v>392</v>
      </c>
      <c r="AC200" s="21">
        <v>23</v>
      </c>
      <c r="AD200" s="17">
        <v>3.4</v>
      </c>
      <c r="AE200" s="15" t="s">
        <v>409</v>
      </c>
      <c r="AF200" s="15" t="s">
        <v>482</v>
      </c>
      <c r="AG200" s="15" t="s">
        <v>447</v>
      </c>
      <c r="AH200" s="3" t="s">
        <v>450</v>
      </c>
      <c r="AI200" s="3" t="s">
        <v>450</v>
      </c>
      <c r="AJ200" s="3" t="s">
        <v>450</v>
      </c>
      <c r="AK200" s="31" t="s">
        <v>457</v>
      </c>
      <c r="AL200" s="15" t="s">
        <v>450</v>
      </c>
      <c r="AM200" s="15" t="s">
        <v>450</v>
      </c>
      <c r="AN200" s="15"/>
    </row>
    <row r="201" spans="1:40" ht="14.25" hidden="1" customHeight="1" x14ac:dyDescent="0.25">
      <c r="A201" s="1"/>
      <c r="B201" s="2" t="s">
        <v>203</v>
      </c>
      <c r="C201">
        <v>19.23</v>
      </c>
      <c r="D201"/>
    </row>
    <row r="202" spans="1:40" ht="14.25" hidden="1" customHeight="1" x14ac:dyDescent="0.25">
      <c r="A202" s="1"/>
      <c r="B202" s="2" t="s">
        <v>204</v>
      </c>
      <c r="C202">
        <v>29.81</v>
      </c>
      <c r="D202"/>
    </row>
    <row r="203" spans="1:40" ht="14.25" hidden="1" customHeight="1" x14ac:dyDescent="0.25">
      <c r="A203" s="1"/>
      <c r="B203" s="2" t="s">
        <v>205</v>
      </c>
      <c r="C203">
        <v>8.24</v>
      </c>
      <c r="D203"/>
    </row>
    <row r="204" spans="1:40" ht="14.25" hidden="1" customHeight="1" x14ac:dyDescent="0.25">
      <c r="A204" s="1"/>
      <c r="C204"/>
      <c r="D204"/>
    </row>
    <row r="205" spans="1:40" ht="14.25" customHeight="1" x14ac:dyDescent="0.25">
      <c r="A205" s="35" t="s">
        <v>39</v>
      </c>
      <c r="B205" s="14" t="s">
        <v>391</v>
      </c>
      <c r="C205" s="33">
        <f>SUM(C206:C248)</f>
        <v>504.3900000000001</v>
      </c>
      <c r="D205" s="15" t="s">
        <v>438</v>
      </c>
      <c r="E205" s="15" t="s">
        <v>392</v>
      </c>
      <c r="F205" s="15" t="s">
        <v>392</v>
      </c>
      <c r="G205" s="15" t="s">
        <v>392</v>
      </c>
      <c r="H205" s="15" t="s">
        <v>392</v>
      </c>
      <c r="I205" s="15" t="s">
        <v>392</v>
      </c>
      <c r="J205" s="22">
        <v>0.9</v>
      </c>
      <c r="K205" s="15" t="s">
        <v>392</v>
      </c>
      <c r="L205" s="15" t="s">
        <v>392</v>
      </c>
      <c r="M205" s="15" t="s">
        <v>392</v>
      </c>
      <c r="N205" s="15" t="s">
        <v>392</v>
      </c>
      <c r="O205" s="15" t="s">
        <v>392</v>
      </c>
      <c r="P205" s="15" t="s">
        <v>392</v>
      </c>
      <c r="Q205" s="15" t="s">
        <v>392</v>
      </c>
      <c r="R205" s="15" t="s">
        <v>392</v>
      </c>
      <c r="S205" s="15" t="s">
        <v>392</v>
      </c>
      <c r="T205" s="15" t="s">
        <v>392</v>
      </c>
      <c r="U205" s="15" t="s">
        <v>392</v>
      </c>
      <c r="V205" s="15" t="s">
        <v>392</v>
      </c>
      <c r="W205" s="15" t="s">
        <v>392</v>
      </c>
      <c r="X205" s="15" t="s">
        <v>392</v>
      </c>
      <c r="Y205" s="19" t="s">
        <v>392</v>
      </c>
      <c r="Z205" s="19" t="s">
        <v>392</v>
      </c>
      <c r="AA205" s="18" t="s">
        <v>392</v>
      </c>
      <c r="AB205" s="15" t="s">
        <v>392</v>
      </c>
      <c r="AC205" s="21">
        <v>23</v>
      </c>
      <c r="AD205" s="17">
        <v>3.4</v>
      </c>
      <c r="AE205" s="15" t="s">
        <v>409</v>
      </c>
      <c r="AF205" s="15" t="s">
        <v>482</v>
      </c>
      <c r="AG205" s="15" t="s">
        <v>447</v>
      </c>
      <c r="AH205" s="3" t="s">
        <v>450</v>
      </c>
      <c r="AI205" s="3" t="s">
        <v>450</v>
      </c>
      <c r="AJ205" s="3" t="s">
        <v>450</v>
      </c>
      <c r="AK205" s="31" t="s">
        <v>457</v>
      </c>
      <c r="AL205" s="15" t="s">
        <v>450</v>
      </c>
      <c r="AM205" s="15" t="s">
        <v>450</v>
      </c>
      <c r="AN205" s="15"/>
    </row>
    <row r="206" spans="1:40" ht="14.25" hidden="1" customHeight="1" x14ac:dyDescent="0.25">
      <c r="A206" s="1"/>
      <c r="B206" s="2" t="s">
        <v>206</v>
      </c>
      <c r="C206">
        <v>1.54</v>
      </c>
      <c r="D206"/>
    </row>
    <row r="207" spans="1:40" ht="14.25" hidden="1" customHeight="1" x14ac:dyDescent="0.25">
      <c r="A207" s="1"/>
      <c r="B207" s="2" t="s">
        <v>207</v>
      </c>
      <c r="C207">
        <v>1.2</v>
      </c>
      <c r="D207"/>
    </row>
    <row r="208" spans="1:40" ht="14.25" hidden="1" customHeight="1" x14ac:dyDescent="0.25">
      <c r="A208" s="1"/>
      <c r="B208" s="2" t="s">
        <v>208</v>
      </c>
      <c r="C208">
        <v>11.45</v>
      </c>
      <c r="D208"/>
    </row>
    <row r="209" spans="1:4" ht="14.25" hidden="1" customHeight="1" x14ac:dyDescent="0.25">
      <c r="A209" s="1"/>
      <c r="B209" s="2" t="s">
        <v>209</v>
      </c>
      <c r="C209">
        <v>7.15</v>
      </c>
      <c r="D209"/>
    </row>
    <row r="210" spans="1:4" ht="14.25" hidden="1" customHeight="1" x14ac:dyDescent="0.25">
      <c r="A210" s="1"/>
      <c r="B210" s="2" t="s">
        <v>210</v>
      </c>
      <c r="C210">
        <v>6.7</v>
      </c>
      <c r="D210"/>
    </row>
    <row r="211" spans="1:4" ht="14.25" hidden="1" customHeight="1" x14ac:dyDescent="0.25">
      <c r="A211" s="1"/>
      <c r="B211" s="2" t="s">
        <v>211</v>
      </c>
      <c r="C211">
        <v>19.61</v>
      </c>
      <c r="D211"/>
    </row>
    <row r="212" spans="1:4" ht="14.25" hidden="1" customHeight="1" x14ac:dyDescent="0.25">
      <c r="A212" s="1"/>
      <c r="B212" s="2" t="s">
        <v>212</v>
      </c>
      <c r="C212">
        <v>25.68</v>
      </c>
      <c r="D212"/>
    </row>
    <row r="213" spans="1:4" ht="14.25" hidden="1" customHeight="1" x14ac:dyDescent="0.25">
      <c r="A213" s="1"/>
      <c r="B213" s="2" t="s">
        <v>213</v>
      </c>
      <c r="C213">
        <v>11.43</v>
      </c>
      <c r="D213"/>
    </row>
    <row r="214" spans="1:4" ht="14.25" hidden="1" customHeight="1" x14ac:dyDescent="0.25">
      <c r="A214" s="1"/>
      <c r="B214" s="2" t="s">
        <v>216</v>
      </c>
      <c r="C214">
        <v>13.38</v>
      </c>
      <c r="D214"/>
    </row>
    <row r="215" spans="1:4" ht="14.25" hidden="1" customHeight="1" x14ac:dyDescent="0.25">
      <c r="A215" s="1"/>
      <c r="B215" s="2" t="s">
        <v>217</v>
      </c>
      <c r="C215">
        <v>4.84</v>
      </c>
      <c r="D215"/>
    </row>
    <row r="216" spans="1:4" ht="14.25" hidden="1" customHeight="1" x14ac:dyDescent="0.25">
      <c r="A216" s="1"/>
      <c r="B216" s="2" t="s">
        <v>218</v>
      </c>
      <c r="C216">
        <v>13.46</v>
      </c>
      <c r="D216"/>
    </row>
    <row r="217" spans="1:4" ht="14.25" hidden="1" customHeight="1" x14ac:dyDescent="0.25">
      <c r="A217" s="1"/>
      <c r="B217" s="2" t="s">
        <v>219</v>
      </c>
      <c r="C217">
        <v>8.84</v>
      </c>
      <c r="D217"/>
    </row>
    <row r="218" spans="1:4" ht="14.25" hidden="1" customHeight="1" x14ac:dyDescent="0.25">
      <c r="A218" s="1"/>
      <c r="B218" s="2" t="s">
        <v>220</v>
      </c>
      <c r="C218">
        <v>13.46</v>
      </c>
      <c r="D218"/>
    </row>
    <row r="219" spans="1:4" ht="14.25" hidden="1" customHeight="1" x14ac:dyDescent="0.25">
      <c r="A219" s="1"/>
      <c r="B219" s="2" t="s">
        <v>221</v>
      </c>
      <c r="C219">
        <v>4.84</v>
      </c>
      <c r="D219"/>
    </row>
    <row r="220" spans="1:4" ht="14.25" hidden="1" customHeight="1" x14ac:dyDescent="0.25">
      <c r="A220" s="1"/>
      <c r="B220" s="2" t="s">
        <v>222</v>
      </c>
      <c r="C220">
        <v>13.46</v>
      </c>
      <c r="D220"/>
    </row>
    <row r="221" spans="1:4" ht="14.25" hidden="1" customHeight="1" x14ac:dyDescent="0.25">
      <c r="A221" s="1"/>
      <c r="B221" s="2" t="s">
        <v>223</v>
      </c>
      <c r="C221">
        <v>4.84</v>
      </c>
      <c r="D221"/>
    </row>
    <row r="222" spans="1:4" ht="14.25" hidden="1" customHeight="1" x14ac:dyDescent="0.25">
      <c r="A222" s="1"/>
      <c r="B222" s="2" t="s">
        <v>224</v>
      </c>
      <c r="C222">
        <v>13.59</v>
      </c>
      <c r="D222"/>
    </row>
    <row r="223" spans="1:4" ht="14.25" hidden="1" customHeight="1" x14ac:dyDescent="0.25">
      <c r="A223" s="1"/>
      <c r="B223" s="2" t="s">
        <v>225</v>
      </c>
      <c r="C223">
        <v>4.84</v>
      </c>
      <c r="D223"/>
    </row>
    <row r="224" spans="1:4" ht="14.25" hidden="1" customHeight="1" x14ac:dyDescent="0.25">
      <c r="A224" s="1"/>
      <c r="B224" s="2" t="s">
        <v>226</v>
      </c>
      <c r="C224">
        <v>13.59</v>
      </c>
      <c r="D224"/>
    </row>
    <row r="225" spans="1:4" ht="14.25" hidden="1" customHeight="1" x14ac:dyDescent="0.25">
      <c r="A225" s="1"/>
      <c r="B225" s="2" t="s">
        <v>227</v>
      </c>
      <c r="C225">
        <v>4.84</v>
      </c>
      <c r="D225"/>
    </row>
    <row r="226" spans="1:4" ht="14.25" hidden="1" customHeight="1" x14ac:dyDescent="0.25">
      <c r="A226" s="1"/>
      <c r="B226" s="2" t="s">
        <v>228</v>
      </c>
      <c r="C226">
        <v>13.46</v>
      </c>
      <c r="D226"/>
    </row>
    <row r="227" spans="1:4" ht="14.25" hidden="1" customHeight="1" x14ac:dyDescent="0.25">
      <c r="A227" s="1"/>
      <c r="B227" s="2" t="s">
        <v>229</v>
      </c>
      <c r="C227">
        <v>4.84</v>
      </c>
      <c r="D227"/>
    </row>
    <row r="228" spans="1:4" ht="14.25" hidden="1" customHeight="1" x14ac:dyDescent="0.25">
      <c r="A228" s="1"/>
      <c r="B228" s="2" t="s">
        <v>230</v>
      </c>
      <c r="C228">
        <v>13.46</v>
      </c>
      <c r="D228"/>
    </row>
    <row r="229" spans="1:4" ht="14.25" hidden="1" customHeight="1" x14ac:dyDescent="0.25">
      <c r="A229" s="1"/>
      <c r="B229" s="2" t="s">
        <v>231</v>
      </c>
      <c r="C229">
        <v>4.84</v>
      </c>
      <c r="D229"/>
    </row>
    <row r="230" spans="1:4" ht="14.25" hidden="1" customHeight="1" x14ac:dyDescent="0.25">
      <c r="A230" s="1"/>
      <c r="B230" s="2" t="s">
        <v>232</v>
      </c>
      <c r="C230">
        <v>13.46</v>
      </c>
      <c r="D230"/>
    </row>
    <row r="231" spans="1:4" ht="14.25" hidden="1" customHeight="1" x14ac:dyDescent="0.25">
      <c r="A231" s="1"/>
      <c r="B231" s="2" t="s">
        <v>233</v>
      </c>
      <c r="C231">
        <v>4.84</v>
      </c>
      <c r="D231"/>
    </row>
    <row r="232" spans="1:4" ht="14.25" hidden="1" customHeight="1" x14ac:dyDescent="0.25">
      <c r="A232" s="1"/>
      <c r="B232" s="2" t="s">
        <v>234</v>
      </c>
      <c r="C232">
        <v>13.36</v>
      </c>
      <c r="D232"/>
    </row>
    <row r="233" spans="1:4" ht="14.25" hidden="1" customHeight="1" x14ac:dyDescent="0.25">
      <c r="A233" s="1"/>
      <c r="B233" s="2" t="s">
        <v>235</v>
      </c>
      <c r="C233">
        <v>4.84</v>
      </c>
      <c r="D233"/>
    </row>
    <row r="234" spans="1:4" ht="14.25" hidden="1" customHeight="1" x14ac:dyDescent="0.25">
      <c r="A234" s="1"/>
      <c r="B234" s="2" t="s">
        <v>236</v>
      </c>
      <c r="C234">
        <v>6.2</v>
      </c>
      <c r="D234"/>
    </row>
    <row r="235" spans="1:4" ht="14.25" hidden="1" customHeight="1" x14ac:dyDescent="0.25">
      <c r="A235" s="1"/>
      <c r="B235" s="2" t="s">
        <v>237</v>
      </c>
      <c r="C235">
        <v>14.27</v>
      </c>
      <c r="D235"/>
    </row>
    <row r="236" spans="1:4" ht="14.25" hidden="1" customHeight="1" x14ac:dyDescent="0.25">
      <c r="A236" s="1"/>
      <c r="B236" s="2" t="s">
        <v>238</v>
      </c>
      <c r="C236">
        <v>6.76</v>
      </c>
      <c r="D236"/>
    </row>
    <row r="237" spans="1:4" ht="14.25" hidden="1" customHeight="1" x14ac:dyDescent="0.25">
      <c r="A237" s="1"/>
      <c r="B237" s="2" t="s">
        <v>239</v>
      </c>
      <c r="C237">
        <v>18.68</v>
      </c>
      <c r="D237"/>
    </row>
    <row r="238" spans="1:4" ht="14.25" hidden="1" customHeight="1" x14ac:dyDescent="0.25">
      <c r="A238" s="1"/>
      <c r="B238" s="2" t="s">
        <v>240</v>
      </c>
      <c r="C238">
        <v>4.84</v>
      </c>
      <c r="D238"/>
    </row>
    <row r="239" spans="1:4" ht="14.25" hidden="1" customHeight="1" x14ac:dyDescent="0.25">
      <c r="A239" s="1"/>
      <c r="B239" s="2" t="s">
        <v>241</v>
      </c>
      <c r="C239">
        <v>11.43</v>
      </c>
      <c r="D239"/>
    </row>
    <row r="240" spans="1:4" ht="14.25" hidden="1" customHeight="1" x14ac:dyDescent="0.25">
      <c r="A240" s="1"/>
      <c r="B240" s="2" t="s">
        <v>242</v>
      </c>
      <c r="C240">
        <v>17.84</v>
      </c>
      <c r="D240"/>
    </row>
    <row r="241" spans="1:40" ht="14.25" hidden="1" customHeight="1" x14ac:dyDescent="0.25">
      <c r="A241" s="1"/>
      <c r="B241" s="2" t="s">
        <v>243</v>
      </c>
      <c r="C241">
        <v>1.55</v>
      </c>
      <c r="D241"/>
    </row>
    <row r="242" spans="1:40" ht="14.25" hidden="1" customHeight="1" x14ac:dyDescent="0.25">
      <c r="A242" s="1"/>
      <c r="B242" s="2" t="s">
        <v>244</v>
      </c>
      <c r="C242">
        <v>1.66</v>
      </c>
      <c r="D242"/>
    </row>
    <row r="243" spans="1:40" ht="14.25" hidden="1" customHeight="1" x14ac:dyDescent="0.25">
      <c r="A243" s="1"/>
      <c r="B243" s="2" t="s">
        <v>245</v>
      </c>
      <c r="C243">
        <v>5.24</v>
      </c>
      <c r="D243"/>
    </row>
    <row r="244" spans="1:40" ht="14.25" hidden="1" customHeight="1" x14ac:dyDescent="0.25">
      <c r="A244" s="1"/>
      <c r="B244" s="2" t="s">
        <v>246</v>
      </c>
      <c r="C244">
        <v>16.690000000000001</v>
      </c>
      <c r="D244"/>
    </row>
    <row r="245" spans="1:40" ht="14.25" hidden="1" customHeight="1" x14ac:dyDescent="0.25">
      <c r="A245" s="1"/>
      <c r="B245" s="2" t="s">
        <v>247</v>
      </c>
      <c r="C245">
        <v>6.91</v>
      </c>
      <c r="D245"/>
    </row>
    <row r="246" spans="1:40" ht="14.25" hidden="1" customHeight="1" x14ac:dyDescent="0.25">
      <c r="A246" s="1"/>
      <c r="B246" s="2" t="s">
        <v>248</v>
      </c>
      <c r="C246">
        <v>20.67</v>
      </c>
      <c r="D246"/>
    </row>
    <row r="247" spans="1:40" ht="14.25" hidden="1" customHeight="1" x14ac:dyDescent="0.25">
      <c r="A247" s="1"/>
      <c r="B247" s="2" t="s">
        <v>249</v>
      </c>
      <c r="C247">
        <v>6.97</v>
      </c>
      <c r="D247"/>
    </row>
    <row r="248" spans="1:40" ht="14.25" hidden="1" customHeight="1" x14ac:dyDescent="0.25">
      <c r="A248" s="1"/>
      <c r="B248" s="2" t="s">
        <v>250</v>
      </c>
      <c r="C248">
        <v>92.84</v>
      </c>
      <c r="D248"/>
    </row>
    <row r="249" spans="1:40" ht="14.25" hidden="1" customHeight="1" x14ac:dyDescent="0.25">
      <c r="A249" s="1"/>
      <c r="C249"/>
      <c r="D249"/>
    </row>
    <row r="250" spans="1:40" ht="14.25" customHeight="1" x14ac:dyDescent="0.25">
      <c r="A250" s="35" t="s">
        <v>40</v>
      </c>
      <c r="B250" s="14" t="s">
        <v>47</v>
      </c>
      <c r="C250" s="33">
        <f>SUM(C251:C257)</f>
        <v>103.44</v>
      </c>
      <c r="D250" s="15" t="s">
        <v>439</v>
      </c>
      <c r="E250" s="16">
        <v>0.5</v>
      </c>
      <c r="F250" s="16">
        <v>0.9</v>
      </c>
      <c r="G250" s="16">
        <v>10</v>
      </c>
      <c r="H250" s="16">
        <v>5</v>
      </c>
      <c r="I250" s="16">
        <f>+G250+H250</f>
        <v>15</v>
      </c>
      <c r="J250" s="17">
        <f>+(G250*E250+H250*F250)/(G250+H250)</f>
        <v>0.6333333333333333</v>
      </c>
      <c r="K250" s="15">
        <v>35</v>
      </c>
      <c r="L250" s="15">
        <v>8</v>
      </c>
      <c r="M250" s="15">
        <v>0</v>
      </c>
      <c r="N250" s="15">
        <v>1</v>
      </c>
      <c r="O250" s="15">
        <v>0</v>
      </c>
      <c r="P250" s="15">
        <v>1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8">
        <f>+(L250*Otvory!D$1+M250*Otvory!D$2+N250*Otvory!D$3+O250*Otvory!D$4+P250*Otvory!D$5+Q250*Otvory!D$6+R250*Otvory!D$7+S250*Otvory!D$8+T250*Otvory!D$9+U250*Otvory!D$10)</f>
        <v>15.48</v>
      </c>
      <c r="W250" s="18">
        <f>+(L250*Otvory!D$1*Otvory!C$1+M250*Otvory!D$2*Otvory!C$2+N250*Otvory!D$3*Otvory!C$3+O250*Otvory!D$4*Otvory!C$4+P250*Otvory!D$5*Otvory!C$5)/V250</f>
        <v>1.6825581395348839</v>
      </c>
      <c r="X250" s="17">
        <v>2.8</v>
      </c>
      <c r="Y250" s="19">
        <f>SQRT(W250/X250) * V250/C250</f>
        <v>0.11600814135999976</v>
      </c>
      <c r="Z250" s="19">
        <v>0.16</v>
      </c>
      <c r="AA250" s="20">
        <f>+C250*Z250/(L250*Otvory!D$1*SQRT(Otvory!C$1)+M250*Otvory!D$2*SQRT(Otvory!C$2)+N250*Otvory!D$3*SQRT(Otvory!C$3)+O250*Otvory!D$4*SQRT(Otvory!C$4)+P250*Otvory!D$5*SQRT(Otvory!C$5))</f>
        <v>0.83067041389856389</v>
      </c>
      <c r="AB250" s="16">
        <v>1</v>
      </c>
      <c r="AC250" s="21">
        <f>+I250*J250*AA250*AB250</f>
        <v>7.8913689320363574</v>
      </c>
      <c r="AD250" s="17">
        <v>6.5</v>
      </c>
      <c r="AE250" s="15" t="s">
        <v>408</v>
      </c>
      <c r="AF250" s="15" t="s">
        <v>417</v>
      </c>
      <c r="AG250" s="15" t="s">
        <v>447</v>
      </c>
      <c r="AH250" s="3" t="s">
        <v>450</v>
      </c>
      <c r="AI250" s="3" t="s">
        <v>450</v>
      </c>
      <c r="AJ250" s="3" t="s">
        <v>450</v>
      </c>
      <c r="AK250" s="15" t="s">
        <v>450</v>
      </c>
      <c r="AL250" s="15" t="s">
        <v>450</v>
      </c>
      <c r="AM250" s="15" t="s">
        <v>450</v>
      </c>
      <c r="AN250" s="15"/>
    </row>
    <row r="251" spans="1:40" ht="14.25" hidden="1" customHeight="1" x14ac:dyDescent="0.25">
      <c r="A251" s="1"/>
      <c r="B251" s="2" t="s">
        <v>252</v>
      </c>
      <c r="C251">
        <v>21.8</v>
      </c>
      <c r="D251"/>
    </row>
    <row r="252" spans="1:40" ht="14.25" hidden="1" customHeight="1" x14ac:dyDescent="0.25">
      <c r="A252" s="1"/>
      <c r="B252" s="2" t="s">
        <v>253</v>
      </c>
      <c r="C252">
        <v>35.369999999999997</v>
      </c>
      <c r="D252"/>
    </row>
    <row r="253" spans="1:40" ht="14.25" hidden="1" customHeight="1" x14ac:dyDescent="0.25">
      <c r="A253" s="1"/>
      <c r="B253" s="2" t="s">
        <v>254</v>
      </c>
      <c r="C253">
        <v>23.84</v>
      </c>
      <c r="D253"/>
    </row>
    <row r="254" spans="1:40" ht="14.25" hidden="1" customHeight="1" x14ac:dyDescent="0.25">
      <c r="A254" s="1"/>
      <c r="B254" s="2" t="s">
        <v>255</v>
      </c>
      <c r="C254">
        <v>5.78</v>
      </c>
      <c r="D254"/>
    </row>
    <row r="255" spans="1:40" ht="14.25" hidden="1" customHeight="1" x14ac:dyDescent="0.25">
      <c r="A255" s="1"/>
      <c r="B255" s="2" t="s">
        <v>256</v>
      </c>
      <c r="C255">
        <v>5.6</v>
      </c>
      <c r="D255"/>
    </row>
    <row r="256" spans="1:40" ht="14.25" hidden="1" customHeight="1" x14ac:dyDescent="0.25">
      <c r="A256" s="1"/>
      <c r="B256" s="2" t="s">
        <v>257</v>
      </c>
      <c r="C256">
        <v>5.52</v>
      </c>
      <c r="D256"/>
    </row>
    <row r="257" spans="1:40" ht="14.25" hidden="1" customHeight="1" x14ac:dyDescent="0.25">
      <c r="A257" s="1"/>
      <c r="B257" s="2" t="s">
        <v>258</v>
      </c>
      <c r="C257">
        <v>5.53</v>
      </c>
      <c r="D257"/>
    </row>
    <row r="258" spans="1:40" ht="14.25" hidden="1" customHeight="1" x14ac:dyDescent="0.25">
      <c r="A258" s="1"/>
      <c r="C258"/>
      <c r="D258"/>
    </row>
    <row r="259" spans="1:40" ht="14.25" customHeight="1" x14ac:dyDescent="0.25">
      <c r="A259" s="35" t="s">
        <v>41</v>
      </c>
      <c r="B259" s="14" t="s">
        <v>34</v>
      </c>
      <c r="C259" s="33">
        <f>+C260</f>
        <v>25.82</v>
      </c>
      <c r="D259" s="15" t="s">
        <v>440</v>
      </c>
      <c r="E259" s="16">
        <v>0.5</v>
      </c>
      <c r="F259" s="16">
        <v>0.9</v>
      </c>
      <c r="G259" s="16">
        <v>5</v>
      </c>
      <c r="H259" s="16">
        <v>5</v>
      </c>
      <c r="I259" s="16">
        <f>+G259+H259</f>
        <v>10</v>
      </c>
      <c r="J259" s="17">
        <f>+(G259*E259+H259*F259)/(G259+H259)</f>
        <v>0.7</v>
      </c>
      <c r="K259" s="15">
        <v>26</v>
      </c>
      <c r="L259" s="15">
        <v>2</v>
      </c>
      <c r="M259" s="15">
        <v>0</v>
      </c>
      <c r="N259" s="15">
        <v>0</v>
      </c>
      <c r="O259" s="15">
        <v>0</v>
      </c>
      <c r="P259" s="15">
        <v>1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8">
        <f>+(L259*Otvory!D$1+M259*Otvory!D$2+N259*Otvory!D$3+O259*Otvory!D$4+P259*Otvory!D$5+Q259*Otvory!D$6+R259*Otvory!D$7+S259*Otvory!D$8+T259*Otvory!D$9+U259*Otvory!D$10)</f>
        <v>6.84</v>
      </c>
      <c r="W259" s="18">
        <f>+(L259*Otvory!D$1*Otvory!C$1+M259*Otvory!D$2*Otvory!C$2+N259*Otvory!D$3*Otvory!C$3+O259*Otvory!D$4*Otvory!C$4+P259*Otvory!D$5*Otvory!C$5)/V259</f>
        <v>1.9842105263157894</v>
      </c>
      <c r="X259" s="17">
        <v>2.8</v>
      </c>
      <c r="Y259" s="19">
        <f>SQRT(W259/X259) * V259/C259</f>
        <v>0.22300506277989901</v>
      </c>
      <c r="Z259" s="19">
        <v>0.20899999999999999</v>
      </c>
      <c r="AA259" s="20">
        <f>+C259*Z259/(L259*Otvory!D$1*SQRT(Otvory!C$1)+M259*Otvory!D$2*SQRT(Otvory!C$2)+N259*Otvory!D$3*SQRT(Otvory!C$3)+O259*Otvory!D$4*SQRT(Otvory!C$4)+P259*Otvory!D$5*SQRT(Otvory!C$5))</f>
        <v>0.56297723342018013</v>
      </c>
      <c r="AB259" s="16">
        <v>1</v>
      </c>
      <c r="AC259" s="21">
        <f>+I259*J259*AA259*AB259</f>
        <v>3.9408406339412609</v>
      </c>
      <c r="AD259" s="17">
        <v>6.5</v>
      </c>
      <c r="AE259" s="15" t="s">
        <v>408</v>
      </c>
      <c r="AF259" s="15" t="s">
        <v>418</v>
      </c>
      <c r="AG259" s="15" t="s">
        <v>447</v>
      </c>
      <c r="AH259" s="3" t="s">
        <v>450</v>
      </c>
      <c r="AI259" s="3" t="s">
        <v>450</v>
      </c>
      <c r="AJ259" s="3" t="s">
        <v>450</v>
      </c>
      <c r="AK259" s="15" t="s">
        <v>450</v>
      </c>
      <c r="AL259" s="15" t="s">
        <v>450</v>
      </c>
      <c r="AM259" s="15" t="s">
        <v>450</v>
      </c>
      <c r="AN259" s="15"/>
    </row>
    <row r="260" spans="1:40" ht="14.25" hidden="1" customHeight="1" x14ac:dyDescent="0.25">
      <c r="A260" s="1"/>
      <c r="B260" s="2" t="s">
        <v>260</v>
      </c>
      <c r="C260">
        <v>25.82</v>
      </c>
      <c r="D260"/>
    </row>
    <row r="261" spans="1:40" ht="14.25" hidden="1" customHeight="1" x14ac:dyDescent="0.25">
      <c r="A261" s="1"/>
      <c r="C261"/>
      <c r="D261"/>
    </row>
    <row r="262" spans="1:40" ht="14.25" customHeight="1" x14ac:dyDescent="0.25">
      <c r="A262" s="35" t="s">
        <v>42</v>
      </c>
      <c r="B262" s="14" t="s">
        <v>48</v>
      </c>
      <c r="C262" s="33">
        <f>+C263</f>
        <v>29.75</v>
      </c>
      <c r="D262" s="15" t="s">
        <v>440</v>
      </c>
      <c r="E262" s="16">
        <v>0.9</v>
      </c>
      <c r="F262" s="16">
        <v>0.9</v>
      </c>
      <c r="G262" s="16">
        <v>20</v>
      </c>
      <c r="H262" s="16">
        <v>5</v>
      </c>
      <c r="I262" s="16">
        <f>+G262+H262</f>
        <v>25</v>
      </c>
      <c r="J262" s="17">
        <f>+(G262*E262+H262*F262)/(G262+H262)</f>
        <v>0.9</v>
      </c>
      <c r="K262" s="15">
        <v>30</v>
      </c>
      <c r="L262" s="15">
        <v>1</v>
      </c>
      <c r="M262" s="15">
        <v>1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8">
        <f>+(L262*Otvory!D$1+M262*Otvory!D$2+N262*Otvory!D$3+O262*Otvory!D$4+P262*Otvory!D$5+Q262*Otvory!D$6+R262*Otvory!D$7+S262*Otvory!D$8+T262*Otvory!D$9+U262*Otvory!D$10)</f>
        <v>3.33</v>
      </c>
      <c r="W262" s="18">
        <f>+(L262*Otvory!D$1*Otvory!C$1+M262*Otvory!D$2*Otvory!C$2+N262*Otvory!D$3*Otvory!C$3+O262*Otvory!D$4*Otvory!C$4+P262*Otvory!D$5*Otvory!C$5)/V262</f>
        <v>1.9162162162162164</v>
      </c>
      <c r="X262" s="17">
        <v>2.8</v>
      </c>
      <c r="Y262" s="19">
        <f>SQRT(W262/X262) * V262/C262</f>
        <v>9.2597764772900354E-2</v>
      </c>
      <c r="Z262" s="19">
        <v>0.14000000000000001</v>
      </c>
      <c r="AA262" s="20">
        <f>+C262*Z262/(L262*Otvory!D$1*SQRT(Otvory!C$1)+M262*Otvory!D$2*SQRT(Otvory!C$2)+N262*Otvory!D$3*SQRT(Otvory!C$3)+O262*Otvory!D$4*SQRT(Otvory!C$4)+P262*Otvory!D$5*SQRT(Otvory!C$5))</f>
        <v>0.90736388215661556</v>
      </c>
      <c r="AB262" s="16">
        <v>1</v>
      </c>
      <c r="AC262" s="21">
        <f>+I262*J262*AA262*AB262</f>
        <v>20.41568734852385</v>
      </c>
      <c r="AD262" s="17">
        <v>6.5</v>
      </c>
      <c r="AE262" s="15" t="s">
        <v>409</v>
      </c>
      <c r="AF262" s="15" t="s">
        <v>416</v>
      </c>
      <c r="AG262" s="15" t="s">
        <v>447</v>
      </c>
      <c r="AH262" s="3" t="s">
        <v>450</v>
      </c>
      <c r="AI262" s="3" t="s">
        <v>450</v>
      </c>
      <c r="AJ262" s="3" t="s">
        <v>450</v>
      </c>
      <c r="AK262" s="15" t="s">
        <v>450</v>
      </c>
      <c r="AL262" s="15" t="s">
        <v>450</v>
      </c>
      <c r="AM262" s="15" t="s">
        <v>450</v>
      </c>
      <c r="AN262" s="15"/>
    </row>
    <row r="263" spans="1:40" ht="14.25" hidden="1" customHeight="1" x14ac:dyDescent="0.25">
      <c r="A263" s="1"/>
      <c r="B263" s="2" t="s">
        <v>261</v>
      </c>
      <c r="C263">
        <v>29.75</v>
      </c>
      <c r="D263"/>
    </row>
    <row r="264" spans="1:40" ht="14.25" hidden="1" customHeight="1" x14ac:dyDescent="0.25">
      <c r="A264" s="1"/>
      <c r="C264"/>
      <c r="D264"/>
    </row>
    <row r="265" spans="1:40" ht="14.25" customHeight="1" x14ac:dyDescent="0.25">
      <c r="A265" s="35" t="s">
        <v>43</v>
      </c>
      <c r="B265" s="14" t="s">
        <v>391</v>
      </c>
      <c r="C265" s="33">
        <f>SUM(C266:C284)</f>
        <v>202.97000000000003</v>
      </c>
      <c r="D265" s="15" t="s">
        <v>546</v>
      </c>
      <c r="E265" s="15" t="s">
        <v>392</v>
      </c>
      <c r="F265" s="15" t="s">
        <v>392</v>
      </c>
      <c r="G265" s="15" t="s">
        <v>392</v>
      </c>
      <c r="H265" s="15" t="s">
        <v>392</v>
      </c>
      <c r="I265" s="15" t="s">
        <v>392</v>
      </c>
      <c r="J265" s="22">
        <v>0.9</v>
      </c>
      <c r="K265" s="15" t="s">
        <v>392</v>
      </c>
      <c r="L265" s="15" t="s">
        <v>392</v>
      </c>
      <c r="M265" s="15" t="s">
        <v>392</v>
      </c>
      <c r="N265" s="15" t="s">
        <v>392</v>
      </c>
      <c r="O265" s="15" t="s">
        <v>392</v>
      </c>
      <c r="P265" s="15" t="s">
        <v>392</v>
      </c>
      <c r="Q265" s="15" t="s">
        <v>392</v>
      </c>
      <c r="R265" s="15" t="s">
        <v>392</v>
      </c>
      <c r="S265" s="15" t="s">
        <v>392</v>
      </c>
      <c r="T265" s="15" t="s">
        <v>392</v>
      </c>
      <c r="U265" s="15">
        <v>0</v>
      </c>
      <c r="V265" s="18" t="s">
        <v>392</v>
      </c>
      <c r="W265" s="17" t="s">
        <v>392</v>
      </c>
      <c r="X265" s="17" t="s">
        <v>392</v>
      </c>
      <c r="Y265" s="19" t="s">
        <v>392</v>
      </c>
      <c r="Z265" s="19" t="s">
        <v>392</v>
      </c>
      <c r="AA265" s="18" t="s">
        <v>392</v>
      </c>
      <c r="AB265" s="15" t="s">
        <v>392</v>
      </c>
      <c r="AC265" s="21">
        <v>23</v>
      </c>
      <c r="AD265" s="17">
        <v>3.4</v>
      </c>
      <c r="AE265" s="15" t="s">
        <v>409</v>
      </c>
      <c r="AF265" s="15" t="s">
        <v>416</v>
      </c>
      <c r="AG265" s="15" t="s">
        <v>447</v>
      </c>
      <c r="AH265" s="15" t="s">
        <v>450</v>
      </c>
      <c r="AI265" s="15" t="s">
        <v>450</v>
      </c>
      <c r="AJ265" s="15" t="s">
        <v>450</v>
      </c>
      <c r="AK265" s="15" t="s">
        <v>450</v>
      </c>
      <c r="AL265" s="15" t="s">
        <v>450</v>
      </c>
      <c r="AM265" s="15" t="s">
        <v>450</v>
      </c>
      <c r="AN265" s="15"/>
    </row>
    <row r="266" spans="1:40" ht="14.25" hidden="1" customHeight="1" x14ac:dyDescent="0.25">
      <c r="A266" s="1"/>
      <c r="B266" s="2" t="s">
        <v>259</v>
      </c>
      <c r="C266">
        <v>8.3800000000000008</v>
      </c>
      <c r="D266"/>
    </row>
    <row r="267" spans="1:40" ht="14.25" hidden="1" customHeight="1" x14ac:dyDescent="0.25">
      <c r="A267" s="1"/>
      <c r="B267" s="2" t="s">
        <v>263</v>
      </c>
      <c r="C267">
        <v>13.44</v>
      </c>
      <c r="D267"/>
    </row>
    <row r="268" spans="1:40" ht="14.25" hidden="1" customHeight="1" x14ac:dyDescent="0.25">
      <c r="A268" s="1"/>
      <c r="B268" s="2" t="s">
        <v>264</v>
      </c>
      <c r="C268">
        <v>4.83</v>
      </c>
      <c r="D268"/>
    </row>
    <row r="269" spans="1:40" ht="14.25" hidden="1" customHeight="1" x14ac:dyDescent="0.25">
      <c r="A269" s="1"/>
      <c r="B269" s="2" t="s">
        <v>265</v>
      </c>
      <c r="C269">
        <v>13.48</v>
      </c>
      <c r="D269"/>
    </row>
    <row r="270" spans="1:40" ht="14.25" hidden="1" customHeight="1" x14ac:dyDescent="0.25">
      <c r="A270" s="1"/>
      <c r="B270" s="2" t="s">
        <v>266</v>
      </c>
      <c r="C270">
        <v>4.8099999999999996</v>
      </c>
      <c r="D270"/>
    </row>
    <row r="271" spans="1:40" ht="14.25" hidden="1" customHeight="1" x14ac:dyDescent="0.25">
      <c r="A271" s="1"/>
      <c r="B271" s="2" t="s">
        <v>267</v>
      </c>
      <c r="C271">
        <v>13.48</v>
      </c>
      <c r="D271"/>
    </row>
    <row r="272" spans="1:40" ht="14.25" hidden="1" customHeight="1" x14ac:dyDescent="0.25">
      <c r="A272" s="1"/>
      <c r="B272" s="2" t="s">
        <v>268</v>
      </c>
      <c r="C272">
        <v>4.8</v>
      </c>
      <c r="D272"/>
    </row>
    <row r="273" spans="1:40" ht="14.25" hidden="1" customHeight="1" x14ac:dyDescent="0.25">
      <c r="A273" s="1"/>
      <c r="B273" s="2" t="s">
        <v>269</v>
      </c>
      <c r="C273">
        <v>12.31</v>
      </c>
      <c r="D273"/>
    </row>
    <row r="274" spans="1:40" ht="14.25" hidden="1" customHeight="1" x14ac:dyDescent="0.25">
      <c r="A274" s="1"/>
      <c r="B274" s="2" t="s">
        <v>270</v>
      </c>
      <c r="C274">
        <v>4.84</v>
      </c>
      <c r="D274"/>
    </row>
    <row r="275" spans="1:40" ht="14.25" hidden="1" customHeight="1" x14ac:dyDescent="0.25">
      <c r="A275" s="1"/>
      <c r="B275" s="2" t="s">
        <v>271</v>
      </c>
      <c r="C275">
        <v>12.27</v>
      </c>
      <c r="D275"/>
    </row>
    <row r="276" spans="1:40" ht="14.25" hidden="1" customHeight="1" x14ac:dyDescent="0.25">
      <c r="A276" s="1"/>
      <c r="B276" s="2" t="s">
        <v>272</v>
      </c>
      <c r="C276">
        <v>4.7699999999999996</v>
      </c>
      <c r="D276"/>
    </row>
    <row r="277" spans="1:40" ht="14.25" hidden="1" customHeight="1" x14ac:dyDescent="0.25">
      <c r="A277" s="1"/>
      <c r="B277" s="2" t="s">
        <v>273</v>
      </c>
      <c r="C277">
        <v>11.4</v>
      </c>
      <c r="D277"/>
    </row>
    <row r="278" spans="1:40" ht="14.25" hidden="1" customHeight="1" x14ac:dyDescent="0.25">
      <c r="A278" s="1"/>
      <c r="B278" s="2" t="s">
        <v>274</v>
      </c>
      <c r="C278">
        <v>1.55</v>
      </c>
      <c r="D278"/>
    </row>
    <row r="279" spans="1:40" ht="14.25" hidden="1" customHeight="1" x14ac:dyDescent="0.25">
      <c r="A279" s="1"/>
      <c r="B279" s="2" t="s">
        <v>275</v>
      </c>
      <c r="C279">
        <v>1.55</v>
      </c>
      <c r="D279"/>
    </row>
    <row r="280" spans="1:40" ht="14.25" hidden="1" customHeight="1" x14ac:dyDescent="0.25">
      <c r="A280" s="1"/>
      <c r="B280" s="2" t="s">
        <v>276</v>
      </c>
      <c r="C280">
        <v>11.9</v>
      </c>
      <c r="D280"/>
    </row>
    <row r="281" spans="1:40" ht="14.25" hidden="1" customHeight="1" x14ac:dyDescent="0.25">
      <c r="A281" s="1"/>
      <c r="B281" s="2" t="s">
        <v>277</v>
      </c>
      <c r="C281">
        <v>28.99</v>
      </c>
      <c r="D281"/>
    </row>
    <row r="282" spans="1:40" ht="14.25" hidden="1" customHeight="1" x14ac:dyDescent="0.25">
      <c r="A282" s="1"/>
      <c r="B282" s="2" t="s">
        <v>278</v>
      </c>
      <c r="C282">
        <v>4.84</v>
      </c>
      <c r="D282"/>
    </row>
    <row r="283" spans="1:40" ht="14.25" hidden="1" customHeight="1" x14ac:dyDescent="0.25">
      <c r="A283" s="1"/>
      <c r="B283" s="2" t="s">
        <v>279</v>
      </c>
      <c r="C283">
        <v>6.75</v>
      </c>
      <c r="D283"/>
    </row>
    <row r="284" spans="1:40" ht="14.25" hidden="1" customHeight="1" x14ac:dyDescent="0.25">
      <c r="A284" s="1"/>
      <c r="B284" s="2" t="s">
        <v>280</v>
      </c>
      <c r="C284">
        <v>38.58</v>
      </c>
      <c r="D284"/>
    </row>
    <row r="285" spans="1:40" ht="14.25" hidden="1" customHeight="1" x14ac:dyDescent="0.25">
      <c r="A285" s="1"/>
      <c r="C285"/>
      <c r="D285"/>
    </row>
    <row r="286" spans="1:40" s="44" customFormat="1" ht="14.25" customHeight="1" x14ac:dyDescent="0.25">
      <c r="A286" s="35" t="s">
        <v>44</v>
      </c>
      <c r="B286" s="14" t="s">
        <v>15</v>
      </c>
      <c r="C286" s="33">
        <f>SUM(C287:C289)</f>
        <v>50.95</v>
      </c>
      <c r="D286" s="15" t="s">
        <v>433</v>
      </c>
      <c r="E286" s="16">
        <v>0.8</v>
      </c>
      <c r="F286" s="16">
        <v>0.9</v>
      </c>
      <c r="G286" s="16">
        <v>5</v>
      </c>
      <c r="H286" s="16">
        <v>5</v>
      </c>
      <c r="I286" s="16">
        <f>+G286+H286</f>
        <v>10</v>
      </c>
      <c r="J286" s="17">
        <f>+(G286*E286+H286*F286)/(G286+H286)</f>
        <v>0.85</v>
      </c>
      <c r="K286" s="15">
        <v>28</v>
      </c>
      <c r="L286" s="15">
        <v>2</v>
      </c>
      <c r="M286" s="15">
        <v>0</v>
      </c>
      <c r="N286" s="15">
        <v>0</v>
      </c>
      <c r="O286" s="15">
        <v>0</v>
      </c>
      <c r="P286" s="15">
        <v>1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8">
        <f>+(L286*Otvory!D$1+M286*Otvory!D$2+N286*Otvory!D$3+O286*Otvory!D$4+P286*Otvory!D$5+Q286*Otvory!D$6+R286*Otvory!D$7+S286*Otvory!D$8+T286*Otvory!D$9+U286*Otvory!D$10)</f>
        <v>6.84</v>
      </c>
      <c r="W286" s="18">
        <f>+(L286*Otvory!D$1*Otvory!C$1+M286*Otvory!D$2*Otvory!C$2+N286*Otvory!D$3*Otvory!C$3+O286*Otvory!D$4*Otvory!C$4+P286*Otvory!D$5*Otvory!C$5)/V286</f>
        <v>1.9842105263157894</v>
      </c>
      <c r="X286" s="17">
        <v>2.8</v>
      </c>
      <c r="Y286" s="19">
        <f>SQRT(W286/X286) * V286/C286</f>
        <v>0.11301257548531878</v>
      </c>
      <c r="Z286" s="19">
        <v>0.16</v>
      </c>
      <c r="AA286" s="20">
        <f>+C286*Z286/(L286*Otvory!D$1*SQRT(Otvory!C$1)+M286*Otvory!D$2*SQRT(Otvory!C$2)+N286*Otvory!D$3*SQRT(Otvory!C$3)+O286*Otvory!D$4*SQRT(Otvory!C$4)+P286*Otvory!D$5*SQRT(Otvory!C$5))</f>
        <v>0.85045723370876569</v>
      </c>
      <c r="AB286" s="16">
        <v>1</v>
      </c>
      <c r="AC286" s="21">
        <f>+I286*J286*AA286*AB286</f>
        <v>7.2288864865245088</v>
      </c>
      <c r="AD286" s="17">
        <v>3.4</v>
      </c>
      <c r="AE286" s="15" t="s">
        <v>408</v>
      </c>
      <c r="AF286" s="15" t="s">
        <v>482</v>
      </c>
      <c r="AG286" s="15" t="s">
        <v>447</v>
      </c>
      <c r="AH286" s="15" t="s">
        <v>450</v>
      </c>
      <c r="AI286" s="15" t="s">
        <v>450</v>
      </c>
      <c r="AJ286" s="15" t="s">
        <v>450</v>
      </c>
      <c r="AK286" s="15" t="s">
        <v>450</v>
      </c>
      <c r="AL286" s="15" t="s">
        <v>450</v>
      </c>
      <c r="AM286" s="15" t="s">
        <v>450</v>
      </c>
      <c r="AN286" s="15"/>
    </row>
    <row r="287" spans="1:40" ht="14.25" hidden="1" customHeight="1" x14ac:dyDescent="0.25">
      <c r="A287" s="1"/>
      <c r="B287" s="2" t="s">
        <v>281</v>
      </c>
      <c r="C287">
        <v>27.62</v>
      </c>
      <c r="D287"/>
    </row>
    <row r="288" spans="1:40" ht="14.25" hidden="1" customHeight="1" x14ac:dyDescent="0.25">
      <c r="A288" s="1"/>
      <c r="B288" s="2" t="s">
        <v>282</v>
      </c>
      <c r="C288">
        <v>7.85</v>
      </c>
      <c r="D288"/>
    </row>
    <row r="289" spans="1:40" ht="14.25" hidden="1" customHeight="1" x14ac:dyDescent="0.25">
      <c r="A289" s="1"/>
      <c r="B289" s="2" t="s">
        <v>359</v>
      </c>
      <c r="C289">
        <v>15.48</v>
      </c>
      <c r="D289"/>
    </row>
    <row r="290" spans="1:40" ht="14.25" hidden="1" customHeight="1" x14ac:dyDescent="0.25">
      <c r="A290" s="1"/>
      <c r="C290"/>
      <c r="D290"/>
    </row>
    <row r="291" spans="1:40" ht="14.25" customHeight="1" x14ac:dyDescent="0.25">
      <c r="A291" s="35" t="s">
        <v>45</v>
      </c>
      <c r="B291" s="14" t="s">
        <v>16</v>
      </c>
      <c r="C291" s="33">
        <f>+C292</f>
        <v>10.6</v>
      </c>
      <c r="D291" s="15" t="s">
        <v>424</v>
      </c>
      <c r="E291" s="16">
        <v>0.9</v>
      </c>
      <c r="F291" s="16">
        <v>0.9</v>
      </c>
      <c r="G291" s="16">
        <v>15</v>
      </c>
      <c r="H291" s="16">
        <v>2</v>
      </c>
      <c r="I291" s="16">
        <f>+G291+H291</f>
        <v>17</v>
      </c>
      <c r="J291" s="17">
        <f>+(G291*E291+H291*F291)/(G291+H291)</f>
        <v>0.9</v>
      </c>
      <c r="K291" s="15">
        <v>10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8">
        <f>+(L291*Otvory!D$1+M291*Otvory!D$2+N291*Otvory!D$3+O291*Otvory!D$4+P291*Otvory!D$5+Q291*Otvory!D$6+R291*Otvory!D$7+S291*Otvory!D$8+T291*Otvory!D$9+U291*Otvory!D$10)</f>
        <v>0</v>
      </c>
      <c r="W291" s="18">
        <v>0</v>
      </c>
      <c r="X291" s="17">
        <v>2.8</v>
      </c>
      <c r="Y291" s="19">
        <v>5.0000000000000001E-3</v>
      </c>
      <c r="Z291" s="19">
        <v>7.0000000000000001E-3</v>
      </c>
      <c r="AA291" s="20">
        <f>Z291/0.005/SQRT(X291)</f>
        <v>0.83666002653407545</v>
      </c>
      <c r="AB291" s="16">
        <v>1</v>
      </c>
      <c r="AC291" s="21">
        <f>+I291*J291*AA291*AB291</f>
        <v>12.800898405971354</v>
      </c>
      <c r="AD291" s="17">
        <v>3.4</v>
      </c>
      <c r="AE291" s="15" t="s">
        <v>408</v>
      </c>
      <c r="AF291" s="15" t="s">
        <v>416</v>
      </c>
      <c r="AG291" s="15" t="s">
        <v>447</v>
      </c>
      <c r="AH291" s="15" t="s">
        <v>450</v>
      </c>
      <c r="AI291" s="15" t="s">
        <v>450</v>
      </c>
      <c r="AJ291" s="15" t="s">
        <v>450</v>
      </c>
      <c r="AK291" s="15" t="s">
        <v>450</v>
      </c>
      <c r="AL291" s="15" t="s">
        <v>450</v>
      </c>
      <c r="AM291" s="15" t="s">
        <v>450</v>
      </c>
      <c r="AN291" s="15"/>
    </row>
    <row r="292" spans="1:40" ht="14.25" hidden="1" customHeight="1" x14ac:dyDescent="0.25">
      <c r="A292" s="1"/>
      <c r="B292" s="2" t="s">
        <v>384</v>
      </c>
      <c r="C292">
        <v>10.6</v>
      </c>
      <c r="D292"/>
    </row>
    <row r="293" spans="1:40" ht="14.25" hidden="1" customHeight="1" x14ac:dyDescent="0.25">
      <c r="A293" s="1"/>
      <c r="C293"/>
      <c r="D293"/>
    </row>
    <row r="294" spans="1:40" ht="14.25" customHeight="1" x14ac:dyDescent="0.25">
      <c r="A294" s="35" t="s">
        <v>46</v>
      </c>
      <c r="B294" s="14" t="s">
        <v>391</v>
      </c>
      <c r="C294" s="33">
        <f>SUM(C295:C324)</f>
        <v>372.83</v>
      </c>
      <c r="D294" s="15" t="s">
        <v>441</v>
      </c>
      <c r="E294" s="15" t="s">
        <v>392</v>
      </c>
      <c r="F294" s="15" t="s">
        <v>392</v>
      </c>
      <c r="G294" s="15" t="s">
        <v>392</v>
      </c>
      <c r="H294" s="15" t="s">
        <v>392</v>
      </c>
      <c r="I294" s="15" t="s">
        <v>392</v>
      </c>
      <c r="J294" s="22">
        <v>0.9</v>
      </c>
      <c r="K294" s="15" t="s">
        <v>392</v>
      </c>
      <c r="L294" s="15" t="s">
        <v>392</v>
      </c>
      <c r="M294" s="15" t="s">
        <v>392</v>
      </c>
      <c r="N294" s="15" t="s">
        <v>392</v>
      </c>
      <c r="O294" s="15" t="s">
        <v>392</v>
      </c>
      <c r="P294" s="15" t="s">
        <v>392</v>
      </c>
      <c r="Q294" s="15" t="s">
        <v>392</v>
      </c>
      <c r="R294" s="15" t="s">
        <v>392</v>
      </c>
      <c r="S294" s="15" t="s">
        <v>392</v>
      </c>
      <c r="T294" s="15" t="s">
        <v>392</v>
      </c>
      <c r="U294" s="15" t="s">
        <v>392</v>
      </c>
      <c r="V294" s="15" t="s">
        <v>392</v>
      </c>
      <c r="W294" s="15" t="s">
        <v>392</v>
      </c>
      <c r="X294" s="15" t="s">
        <v>392</v>
      </c>
      <c r="Y294" s="19" t="s">
        <v>392</v>
      </c>
      <c r="Z294" s="19" t="s">
        <v>392</v>
      </c>
      <c r="AA294" s="18" t="s">
        <v>392</v>
      </c>
      <c r="AB294" s="15" t="s">
        <v>392</v>
      </c>
      <c r="AC294" s="21">
        <v>23</v>
      </c>
      <c r="AD294" s="17">
        <v>3.4</v>
      </c>
      <c r="AE294" s="15" t="s">
        <v>409</v>
      </c>
      <c r="AF294" s="15" t="s">
        <v>416</v>
      </c>
      <c r="AG294" s="15" t="s">
        <v>447</v>
      </c>
      <c r="AH294" s="15" t="s">
        <v>450</v>
      </c>
      <c r="AI294" s="15" t="s">
        <v>450</v>
      </c>
      <c r="AJ294" s="15" t="s">
        <v>450</v>
      </c>
      <c r="AK294" s="15" t="s">
        <v>450</v>
      </c>
      <c r="AL294" s="15" t="s">
        <v>450</v>
      </c>
      <c r="AM294" s="15" t="s">
        <v>450</v>
      </c>
      <c r="AN294" s="15"/>
    </row>
    <row r="295" spans="1:40" ht="14.25" hidden="1" customHeight="1" x14ac:dyDescent="0.25">
      <c r="A295" s="1"/>
      <c r="B295" s="2" t="s">
        <v>283</v>
      </c>
      <c r="C295">
        <v>13.98</v>
      </c>
      <c r="D295"/>
    </row>
    <row r="296" spans="1:40" ht="14.25" hidden="1" customHeight="1" x14ac:dyDescent="0.25">
      <c r="A296" s="1"/>
      <c r="B296" s="2" t="s">
        <v>284</v>
      </c>
      <c r="C296">
        <v>4.7699999999999996</v>
      </c>
      <c r="D296"/>
    </row>
    <row r="297" spans="1:40" ht="14.25" hidden="1" customHeight="1" x14ac:dyDescent="0.25">
      <c r="A297" s="1"/>
      <c r="B297" s="2" t="s">
        <v>285</v>
      </c>
      <c r="C297">
        <v>13.83</v>
      </c>
      <c r="D297"/>
    </row>
    <row r="298" spans="1:40" ht="14.25" hidden="1" customHeight="1" x14ac:dyDescent="0.25">
      <c r="A298" s="1"/>
      <c r="B298" s="2" t="s">
        <v>286</v>
      </c>
      <c r="C298">
        <v>4.8099999999999996</v>
      </c>
      <c r="D298"/>
    </row>
    <row r="299" spans="1:40" ht="14.25" hidden="1" customHeight="1" x14ac:dyDescent="0.25">
      <c r="A299" s="1"/>
      <c r="B299" s="2" t="s">
        <v>287</v>
      </c>
      <c r="C299">
        <v>14.6</v>
      </c>
      <c r="D299"/>
    </row>
    <row r="300" spans="1:40" ht="14.25" hidden="1" customHeight="1" x14ac:dyDescent="0.25">
      <c r="A300" s="1"/>
      <c r="B300" s="2" t="s">
        <v>288</v>
      </c>
      <c r="C300">
        <v>4.74</v>
      </c>
      <c r="D300"/>
    </row>
    <row r="301" spans="1:40" ht="14.25" hidden="1" customHeight="1" x14ac:dyDescent="0.25">
      <c r="A301" s="1"/>
      <c r="B301" s="2" t="s">
        <v>289</v>
      </c>
      <c r="C301">
        <v>37.03</v>
      </c>
      <c r="D301"/>
    </row>
    <row r="302" spans="1:40" ht="14.25" hidden="1" customHeight="1" x14ac:dyDescent="0.25">
      <c r="A302" s="1"/>
      <c r="B302" s="2" t="s">
        <v>290</v>
      </c>
      <c r="C302">
        <v>13.4</v>
      </c>
      <c r="D302"/>
    </row>
    <row r="303" spans="1:40" ht="14.25" hidden="1" customHeight="1" x14ac:dyDescent="0.25">
      <c r="A303" s="1"/>
      <c r="B303" s="2" t="s">
        <v>291</v>
      </c>
      <c r="C303">
        <v>22.21</v>
      </c>
      <c r="D303"/>
    </row>
    <row r="304" spans="1:40" ht="14.25" hidden="1" customHeight="1" x14ac:dyDescent="0.25">
      <c r="A304" s="1"/>
      <c r="B304" s="2" t="s">
        <v>292</v>
      </c>
      <c r="C304">
        <v>4.84</v>
      </c>
      <c r="D304"/>
    </row>
    <row r="305" spans="1:4" ht="14.25" hidden="1" customHeight="1" x14ac:dyDescent="0.25">
      <c r="A305" s="1"/>
      <c r="B305" s="2" t="s">
        <v>293</v>
      </c>
      <c r="C305">
        <v>18.84</v>
      </c>
      <c r="D305"/>
    </row>
    <row r="306" spans="1:4" ht="14.25" hidden="1" customHeight="1" x14ac:dyDescent="0.25">
      <c r="A306" s="1"/>
      <c r="B306" s="2" t="s">
        <v>294</v>
      </c>
      <c r="C306">
        <v>4.84</v>
      </c>
      <c r="D306"/>
    </row>
    <row r="307" spans="1:4" ht="14.25" hidden="1" customHeight="1" x14ac:dyDescent="0.25">
      <c r="A307" s="1"/>
      <c r="B307" s="2" t="s">
        <v>295</v>
      </c>
      <c r="C307">
        <v>1.55</v>
      </c>
      <c r="D307"/>
    </row>
    <row r="308" spans="1:4" ht="14.25" hidden="1" customHeight="1" x14ac:dyDescent="0.25">
      <c r="A308" s="1"/>
      <c r="B308" s="2" t="s">
        <v>296</v>
      </c>
      <c r="C308">
        <v>1.55</v>
      </c>
      <c r="D308"/>
    </row>
    <row r="309" spans="1:4" ht="14.25" hidden="1" customHeight="1" x14ac:dyDescent="0.25">
      <c r="A309" s="1"/>
      <c r="B309" s="2" t="s">
        <v>381</v>
      </c>
      <c r="C309">
        <v>34.340000000000003</v>
      </c>
      <c r="D309"/>
    </row>
    <row r="310" spans="1:4" ht="14.25" hidden="1" customHeight="1" x14ac:dyDescent="0.25">
      <c r="A310" s="1"/>
      <c r="B310" s="2" t="s">
        <v>297</v>
      </c>
      <c r="C310">
        <v>13.3</v>
      </c>
      <c r="D310"/>
    </row>
    <row r="311" spans="1:4" ht="14.25" hidden="1" customHeight="1" x14ac:dyDescent="0.25">
      <c r="A311" s="1"/>
      <c r="B311" s="2" t="s">
        <v>298</v>
      </c>
      <c r="C311">
        <v>4.84</v>
      </c>
      <c r="D311"/>
    </row>
    <row r="312" spans="1:4" ht="14.25" hidden="1" customHeight="1" x14ac:dyDescent="0.25">
      <c r="A312" s="1"/>
      <c r="B312" s="2" t="s">
        <v>299</v>
      </c>
      <c r="C312">
        <v>12.15</v>
      </c>
      <c r="D312"/>
    </row>
    <row r="313" spans="1:4" ht="14.25" hidden="1" customHeight="1" x14ac:dyDescent="0.25">
      <c r="A313" s="1"/>
      <c r="B313" s="2" t="s">
        <v>300</v>
      </c>
      <c r="C313">
        <v>4.84</v>
      </c>
      <c r="D313"/>
    </row>
    <row r="314" spans="1:4" ht="14.25" hidden="1" customHeight="1" x14ac:dyDescent="0.25">
      <c r="A314" s="1"/>
      <c r="B314" s="2" t="s">
        <v>301</v>
      </c>
      <c r="C314">
        <v>14.03</v>
      </c>
      <c r="D314"/>
    </row>
    <row r="315" spans="1:4" ht="14.25" hidden="1" customHeight="1" x14ac:dyDescent="0.25">
      <c r="A315" s="1"/>
      <c r="B315" s="2" t="s">
        <v>302</v>
      </c>
      <c r="C315">
        <v>4.84</v>
      </c>
      <c r="D315"/>
    </row>
    <row r="316" spans="1:4" ht="14.25" hidden="1" customHeight="1" x14ac:dyDescent="0.25">
      <c r="A316" s="1"/>
      <c r="B316" s="2" t="s">
        <v>303</v>
      </c>
      <c r="C316">
        <v>13.3</v>
      </c>
      <c r="D316"/>
    </row>
    <row r="317" spans="1:4" ht="14.25" hidden="1" customHeight="1" x14ac:dyDescent="0.25">
      <c r="A317" s="1"/>
      <c r="B317" s="2" t="s">
        <v>304</v>
      </c>
      <c r="C317">
        <v>4.84</v>
      </c>
      <c r="D317"/>
    </row>
    <row r="318" spans="1:4" ht="14.25" hidden="1" customHeight="1" x14ac:dyDescent="0.25">
      <c r="A318" s="1"/>
      <c r="B318" s="2" t="s">
        <v>305</v>
      </c>
      <c r="C318">
        <v>13.3</v>
      </c>
      <c r="D318"/>
    </row>
    <row r="319" spans="1:4" ht="14.25" hidden="1" customHeight="1" x14ac:dyDescent="0.25">
      <c r="A319" s="1"/>
      <c r="B319" s="2" t="s">
        <v>306</v>
      </c>
      <c r="C319">
        <v>4.84</v>
      </c>
      <c r="D319"/>
    </row>
    <row r="320" spans="1:4" ht="14.25" hidden="1" customHeight="1" x14ac:dyDescent="0.25">
      <c r="A320" s="1"/>
      <c r="B320" s="2" t="s">
        <v>307</v>
      </c>
      <c r="C320">
        <v>16.18</v>
      </c>
      <c r="D320"/>
    </row>
    <row r="321" spans="1:40" ht="14.25" hidden="1" customHeight="1" x14ac:dyDescent="0.25">
      <c r="A321" s="1"/>
      <c r="B321" s="2" t="s">
        <v>308</v>
      </c>
      <c r="C321">
        <v>4.84</v>
      </c>
      <c r="D321"/>
    </row>
    <row r="322" spans="1:40" ht="14.25" hidden="1" customHeight="1" x14ac:dyDescent="0.25">
      <c r="A322" s="1"/>
      <c r="B322" s="2" t="s">
        <v>309</v>
      </c>
      <c r="C322">
        <v>18.63</v>
      </c>
      <c r="D322"/>
    </row>
    <row r="323" spans="1:40" ht="14.25" hidden="1" customHeight="1" x14ac:dyDescent="0.25">
      <c r="A323" s="1"/>
      <c r="B323" s="2" t="s">
        <v>380</v>
      </c>
      <c r="C323">
        <v>4.84</v>
      </c>
      <c r="D323"/>
    </row>
    <row r="324" spans="1:40" ht="14.25" hidden="1" customHeight="1" x14ac:dyDescent="0.25">
      <c r="A324" s="1"/>
      <c r="B324" s="2" t="s">
        <v>310</v>
      </c>
      <c r="C324">
        <v>42.73</v>
      </c>
      <c r="D324"/>
    </row>
    <row r="325" spans="1:40" ht="14.25" hidden="1" customHeight="1" x14ac:dyDescent="0.25">
      <c r="A325" s="1"/>
      <c r="C325"/>
      <c r="D325"/>
    </row>
    <row r="326" spans="1:40" ht="14.25" customHeight="1" x14ac:dyDescent="0.25">
      <c r="A326" s="35" t="s">
        <v>49</v>
      </c>
      <c r="B326" s="14" t="s">
        <v>391</v>
      </c>
      <c r="C326" s="33">
        <f>SUM(C327:C329)</f>
        <v>93.23</v>
      </c>
      <c r="D326" s="15" t="s">
        <v>442</v>
      </c>
      <c r="E326" s="15" t="s">
        <v>392</v>
      </c>
      <c r="F326" s="15" t="s">
        <v>392</v>
      </c>
      <c r="G326" s="15" t="s">
        <v>392</v>
      </c>
      <c r="H326" s="15" t="s">
        <v>392</v>
      </c>
      <c r="I326" s="15" t="s">
        <v>392</v>
      </c>
      <c r="J326" s="22">
        <v>0.9</v>
      </c>
      <c r="K326" s="15" t="s">
        <v>392</v>
      </c>
      <c r="L326" s="15" t="s">
        <v>392</v>
      </c>
      <c r="M326" s="15" t="s">
        <v>392</v>
      </c>
      <c r="N326" s="15" t="s">
        <v>392</v>
      </c>
      <c r="O326" s="15" t="s">
        <v>392</v>
      </c>
      <c r="P326" s="15" t="s">
        <v>392</v>
      </c>
      <c r="Q326" s="15" t="s">
        <v>392</v>
      </c>
      <c r="R326" s="15" t="s">
        <v>392</v>
      </c>
      <c r="S326" s="15" t="s">
        <v>392</v>
      </c>
      <c r="T326" s="15" t="s">
        <v>392</v>
      </c>
      <c r="U326" s="15" t="s">
        <v>392</v>
      </c>
      <c r="V326" s="15" t="s">
        <v>392</v>
      </c>
      <c r="W326" s="15" t="s">
        <v>392</v>
      </c>
      <c r="X326" s="15" t="s">
        <v>392</v>
      </c>
      <c r="Y326" s="19" t="s">
        <v>392</v>
      </c>
      <c r="Z326" s="19" t="s">
        <v>392</v>
      </c>
      <c r="AA326" s="18" t="s">
        <v>392</v>
      </c>
      <c r="AB326" s="15" t="s">
        <v>392</v>
      </c>
      <c r="AC326" s="21">
        <v>23</v>
      </c>
      <c r="AD326" s="17">
        <v>3.4</v>
      </c>
      <c r="AE326" s="15" t="s">
        <v>409</v>
      </c>
      <c r="AF326" s="15" t="s">
        <v>482</v>
      </c>
      <c r="AG326" s="15" t="s">
        <v>447</v>
      </c>
      <c r="AH326" s="15" t="s">
        <v>450</v>
      </c>
      <c r="AI326" s="15" t="s">
        <v>450</v>
      </c>
      <c r="AJ326" s="15" t="s">
        <v>450</v>
      </c>
      <c r="AK326" s="15" t="s">
        <v>457</v>
      </c>
      <c r="AL326" s="15" t="s">
        <v>450</v>
      </c>
      <c r="AM326" s="15" t="s">
        <v>450</v>
      </c>
      <c r="AN326" s="15"/>
    </row>
    <row r="327" spans="1:40" ht="14.25" hidden="1" customHeight="1" x14ac:dyDescent="0.25">
      <c r="A327" s="1"/>
      <c r="B327" s="2" t="s">
        <v>317</v>
      </c>
      <c r="C327">
        <v>62.46</v>
      </c>
      <c r="D327"/>
    </row>
    <row r="328" spans="1:40" ht="14.25" hidden="1" customHeight="1" x14ac:dyDescent="0.25">
      <c r="A328" s="1"/>
      <c r="B328" s="2" t="s">
        <v>318</v>
      </c>
      <c r="C328">
        <v>25.93</v>
      </c>
      <c r="D328"/>
    </row>
    <row r="329" spans="1:40" ht="14.25" hidden="1" customHeight="1" x14ac:dyDescent="0.25">
      <c r="A329" s="1"/>
      <c r="B329" s="2" t="s">
        <v>319</v>
      </c>
      <c r="C329">
        <v>4.84</v>
      </c>
      <c r="D329"/>
    </row>
    <row r="330" spans="1:40" ht="14.25" hidden="1" customHeight="1" x14ac:dyDescent="0.25">
      <c r="A330" s="1"/>
      <c r="C330"/>
      <c r="D330"/>
    </row>
    <row r="331" spans="1:40" ht="14.25" customHeight="1" x14ac:dyDescent="0.25">
      <c r="A331" s="35" t="s">
        <v>50</v>
      </c>
      <c r="B331" s="14" t="s">
        <v>385</v>
      </c>
      <c r="C331" s="33">
        <f>+C332</f>
        <v>57.13</v>
      </c>
      <c r="D331" s="15" t="s">
        <v>443</v>
      </c>
      <c r="E331" s="16">
        <v>0.9</v>
      </c>
      <c r="F331" s="16">
        <v>0.9</v>
      </c>
      <c r="G331" s="16">
        <v>20</v>
      </c>
      <c r="H331" s="16">
        <v>5</v>
      </c>
      <c r="I331" s="16">
        <f>+G331+H331</f>
        <v>25</v>
      </c>
      <c r="J331" s="17">
        <f>+(G331*E331+H331*F331)/(G331+H331)</f>
        <v>0.9</v>
      </c>
      <c r="K331" s="15">
        <v>60</v>
      </c>
      <c r="L331" s="15">
        <v>4</v>
      </c>
      <c r="M331" s="15">
        <v>0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0</v>
      </c>
      <c r="V331" s="18">
        <f>+(L331*Otvory!D$1+M331*Otvory!D$2+N331*Otvory!D$3+O331*Otvory!D$4+P331*Otvory!D$5+Q331*Otvory!D$6+R331*Otvory!D$7+S331*Otvory!D$8+T331*Otvory!D$9+U331*Otvory!D$10)</f>
        <v>5.4</v>
      </c>
      <c r="W331" s="18">
        <f>+(L331*Otvory!D$1*Otvory!C$1+M331*Otvory!D$2*Otvory!C$2+N331*Otvory!D$3*Otvory!C$3+O331*Otvory!D$4*Otvory!C$4+P331*Otvory!D$5*Otvory!C$5)/V331</f>
        <v>1.5000000000000002</v>
      </c>
      <c r="X331" s="17">
        <v>2.8</v>
      </c>
      <c r="Y331" s="19">
        <f>SQRT(W331/X331) * V331/C331</f>
        <v>6.9182483729066338E-2</v>
      </c>
      <c r="Z331" s="19">
        <v>0.11600000000000001</v>
      </c>
      <c r="AA331" s="20">
        <f>+C331*Z331/(L331*Otvory!D$1*SQRT(Otvory!C$1)+M331*Otvory!D$2*SQRT(Otvory!C$2)+N331*Otvory!D$3*SQRT(Otvory!C$3)+O331*Otvory!D$4*SQRT(Otvory!C$4)+P331*Otvory!D$5*SQRT(Otvory!C$5))</f>
        <v>1.0020348447286138</v>
      </c>
      <c r="AB331" s="16">
        <v>1</v>
      </c>
      <c r="AC331" s="21">
        <f>+I331*J331*AA331*AB331</f>
        <v>22.545784006393809</v>
      </c>
      <c r="AD331" s="17">
        <v>3.4</v>
      </c>
      <c r="AE331" s="15" t="s">
        <v>409</v>
      </c>
      <c r="AF331" s="15" t="s">
        <v>482</v>
      </c>
      <c r="AG331" s="15" t="s">
        <v>447</v>
      </c>
      <c r="AH331" s="15" t="s">
        <v>450</v>
      </c>
      <c r="AI331" s="15" t="s">
        <v>450</v>
      </c>
      <c r="AJ331" s="15" t="s">
        <v>450</v>
      </c>
      <c r="AK331" s="15" t="s">
        <v>457</v>
      </c>
      <c r="AL331" s="15" t="s">
        <v>450</v>
      </c>
      <c r="AM331" s="15" t="s">
        <v>450</v>
      </c>
      <c r="AN331" s="15"/>
    </row>
    <row r="332" spans="1:40" ht="14.25" hidden="1" customHeight="1" x14ac:dyDescent="0.25">
      <c r="A332" s="1"/>
      <c r="B332" s="2" t="s">
        <v>323</v>
      </c>
      <c r="C332">
        <v>57.13</v>
      </c>
      <c r="D332"/>
    </row>
    <row r="333" spans="1:40" ht="14.25" hidden="1" customHeight="1" x14ac:dyDescent="0.25">
      <c r="A333" s="1"/>
      <c r="C333"/>
      <c r="D333"/>
    </row>
    <row r="334" spans="1:40" ht="14.25" customHeight="1" x14ac:dyDescent="0.25">
      <c r="A334" s="35" t="s">
        <v>51</v>
      </c>
      <c r="B334" s="14" t="s">
        <v>391</v>
      </c>
      <c r="C334" s="33">
        <f>SUM(C335:C370)</f>
        <v>416.39</v>
      </c>
      <c r="D334" s="15" t="s">
        <v>547</v>
      </c>
      <c r="E334" s="15" t="s">
        <v>392</v>
      </c>
      <c r="F334" s="15" t="s">
        <v>392</v>
      </c>
      <c r="G334" s="15" t="s">
        <v>392</v>
      </c>
      <c r="H334" s="15" t="s">
        <v>392</v>
      </c>
      <c r="I334" s="15" t="s">
        <v>392</v>
      </c>
      <c r="J334" s="22">
        <v>0.9</v>
      </c>
      <c r="K334" s="15" t="s">
        <v>392</v>
      </c>
      <c r="L334" s="15" t="s">
        <v>392</v>
      </c>
      <c r="M334" s="15" t="s">
        <v>392</v>
      </c>
      <c r="N334" s="15" t="s">
        <v>392</v>
      </c>
      <c r="O334" s="15" t="s">
        <v>392</v>
      </c>
      <c r="P334" s="15" t="s">
        <v>392</v>
      </c>
      <c r="Q334" s="15" t="s">
        <v>392</v>
      </c>
      <c r="R334" s="15" t="s">
        <v>392</v>
      </c>
      <c r="S334" s="15" t="s">
        <v>392</v>
      </c>
      <c r="T334" s="15" t="s">
        <v>392</v>
      </c>
      <c r="U334" s="15" t="s">
        <v>392</v>
      </c>
      <c r="V334" s="15" t="s">
        <v>392</v>
      </c>
      <c r="W334" s="15" t="s">
        <v>392</v>
      </c>
      <c r="X334" s="15" t="s">
        <v>392</v>
      </c>
      <c r="Y334" s="19" t="s">
        <v>392</v>
      </c>
      <c r="Z334" s="19" t="s">
        <v>392</v>
      </c>
      <c r="AA334" s="18" t="s">
        <v>392</v>
      </c>
      <c r="AB334" s="15" t="s">
        <v>392</v>
      </c>
      <c r="AC334" s="21">
        <v>23</v>
      </c>
      <c r="AD334" s="17">
        <v>3.4</v>
      </c>
      <c r="AE334" s="15" t="s">
        <v>409</v>
      </c>
      <c r="AF334" s="15" t="s">
        <v>482</v>
      </c>
      <c r="AG334" s="15" t="s">
        <v>447</v>
      </c>
      <c r="AH334" s="15" t="s">
        <v>450</v>
      </c>
      <c r="AI334" s="15" t="s">
        <v>450</v>
      </c>
      <c r="AJ334" s="15" t="s">
        <v>450</v>
      </c>
      <c r="AK334" s="15" t="s">
        <v>457</v>
      </c>
      <c r="AL334" s="15" t="s">
        <v>450</v>
      </c>
      <c r="AM334" s="15" t="s">
        <v>450</v>
      </c>
      <c r="AN334" s="15"/>
    </row>
    <row r="335" spans="1:40" ht="14.25" hidden="1" customHeight="1" x14ac:dyDescent="0.25">
      <c r="A335" s="1"/>
      <c r="B335" s="2" t="s">
        <v>320</v>
      </c>
      <c r="C335">
        <v>4.18</v>
      </c>
      <c r="D335"/>
    </row>
    <row r="336" spans="1:40" ht="14.25" hidden="1" customHeight="1" x14ac:dyDescent="0.25">
      <c r="A336" s="1"/>
      <c r="B336" s="2" t="s">
        <v>322</v>
      </c>
      <c r="C336">
        <v>3.52</v>
      </c>
      <c r="D336"/>
    </row>
    <row r="337" spans="1:4" ht="14.25" hidden="1" customHeight="1" x14ac:dyDescent="0.25">
      <c r="A337" s="1"/>
      <c r="B337" s="2" t="s">
        <v>325</v>
      </c>
      <c r="C337">
        <v>13.89</v>
      </c>
      <c r="D337"/>
    </row>
    <row r="338" spans="1:4" ht="14.25" hidden="1" customHeight="1" x14ac:dyDescent="0.25">
      <c r="A338" s="1"/>
      <c r="B338" s="2" t="s">
        <v>326</v>
      </c>
      <c r="C338">
        <v>4.84</v>
      </c>
      <c r="D338"/>
    </row>
    <row r="339" spans="1:4" ht="14.25" hidden="1" customHeight="1" x14ac:dyDescent="0.25">
      <c r="A339" s="1"/>
      <c r="B339" s="2" t="s">
        <v>327</v>
      </c>
      <c r="C339">
        <v>13.98</v>
      </c>
      <c r="D339"/>
    </row>
    <row r="340" spans="1:4" ht="14.25" hidden="1" customHeight="1" x14ac:dyDescent="0.25">
      <c r="A340" s="1"/>
      <c r="B340" s="2" t="s">
        <v>328</v>
      </c>
      <c r="C340">
        <v>4.84</v>
      </c>
      <c r="D340"/>
    </row>
    <row r="341" spans="1:4" ht="14.25" hidden="1" customHeight="1" x14ac:dyDescent="0.25">
      <c r="A341" s="1"/>
      <c r="B341" s="2" t="s">
        <v>329</v>
      </c>
      <c r="C341">
        <v>13.98</v>
      </c>
      <c r="D341"/>
    </row>
    <row r="342" spans="1:4" ht="14.25" hidden="1" customHeight="1" x14ac:dyDescent="0.25">
      <c r="A342" s="1"/>
      <c r="B342" s="2" t="s">
        <v>330</v>
      </c>
      <c r="C342">
        <v>4.84</v>
      </c>
      <c r="D342"/>
    </row>
    <row r="343" spans="1:4" ht="14.25" hidden="1" customHeight="1" x14ac:dyDescent="0.25">
      <c r="A343" s="1"/>
      <c r="B343" s="2" t="s">
        <v>331</v>
      </c>
      <c r="C343">
        <v>14.11</v>
      </c>
      <c r="D343"/>
    </row>
    <row r="344" spans="1:4" ht="14.25" hidden="1" customHeight="1" x14ac:dyDescent="0.25">
      <c r="A344" s="1"/>
      <c r="B344" s="2" t="s">
        <v>332</v>
      </c>
      <c r="C344">
        <v>4.84</v>
      </c>
      <c r="D344"/>
    </row>
    <row r="345" spans="1:4" ht="14.25" hidden="1" customHeight="1" x14ac:dyDescent="0.25">
      <c r="A345" s="1"/>
      <c r="B345" s="2" t="s">
        <v>333</v>
      </c>
      <c r="C345">
        <v>13.98</v>
      </c>
      <c r="D345"/>
    </row>
    <row r="346" spans="1:4" ht="14.25" hidden="1" customHeight="1" x14ac:dyDescent="0.25">
      <c r="A346" s="1"/>
      <c r="B346" s="2" t="s">
        <v>334</v>
      </c>
      <c r="C346">
        <v>4.84</v>
      </c>
      <c r="D346"/>
    </row>
    <row r="347" spans="1:4" ht="14.25" hidden="1" customHeight="1" x14ac:dyDescent="0.25">
      <c r="A347" s="1"/>
      <c r="B347" s="2" t="s">
        <v>335</v>
      </c>
      <c r="C347">
        <v>13.98</v>
      </c>
      <c r="D347"/>
    </row>
    <row r="348" spans="1:4" ht="14.25" hidden="1" customHeight="1" x14ac:dyDescent="0.25">
      <c r="A348" s="1"/>
      <c r="B348" s="2" t="s">
        <v>336</v>
      </c>
      <c r="C348">
        <v>4.84</v>
      </c>
      <c r="D348"/>
    </row>
    <row r="349" spans="1:4" ht="14.25" hidden="1" customHeight="1" x14ac:dyDescent="0.25">
      <c r="A349" s="1"/>
      <c r="B349" s="2" t="s">
        <v>337</v>
      </c>
      <c r="C349">
        <v>13.88</v>
      </c>
      <c r="D349"/>
    </row>
    <row r="350" spans="1:4" ht="14.25" hidden="1" customHeight="1" x14ac:dyDescent="0.25">
      <c r="A350" s="1"/>
      <c r="B350" s="2" t="s">
        <v>338</v>
      </c>
      <c r="C350">
        <v>4.84</v>
      </c>
      <c r="D350"/>
    </row>
    <row r="351" spans="1:4" ht="14.25" hidden="1" customHeight="1" x14ac:dyDescent="0.25">
      <c r="A351" s="1"/>
      <c r="B351" s="2" t="s">
        <v>339</v>
      </c>
      <c r="C351">
        <v>13.81</v>
      </c>
      <c r="D351"/>
    </row>
    <row r="352" spans="1:4" ht="14.25" hidden="1" customHeight="1" x14ac:dyDescent="0.25">
      <c r="A352" s="1"/>
      <c r="B352" s="2" t="s">
        <v>340</v>
      </c>
      <c r="C352">
        <v>4.84</v>
      </c>
      <c r="D352"/>
    </row>
    <row r="353" spans="1:4" ht="14.25" hidden="1" customHeight="1" x14ac:dyDescent="0.25">
      <c r="A353" s="1"/>
      <c r="B353" s="2" t="s">
        <v>341</v>
      </c>
      <c r="C353">
        <v>14.36</v>
      </c>
      <c r="D353"/>
    </row>
    <row r="354" spans="1:4" ht="14.25" hidden="1" customHeight="1" x14ac:dyDescent="0.25">
      <c r="A354" s="1"/>
      <c r="B354" s="2" t="s">
        <v>342</v>
      </c>
      <c r="C354">
        <v>4.84</v>
      </c>
      <c r="D354"/>
    </row>
    <row r="355" spans="1:4" ht="14.25" hidden="1" customHeight="1" x14ac:dyDescent="0.25">
      <c r="A355" s="1"/>
      <c r="B355" s="2" t="s">
        <v>343</v>
      </c>
      <c r="C355">
        <v>14.11</v>
      </c>
      <c r="D355"/>
    </row>
    <row r="356" spans="1:4" ht="14.25" hidden="1" customHeight="1" x14ac:dyDescent="0.25">
      <c r="A356" s="1"/>
      <c r="B356" s="2" t="s">
        <v>344</v>
      </c>
      <c r="C356">
        <v>4.84</v>
      </c>
      <c r="D356"/>
    </row>
    <row r="357" spans="1:4" ht="14.25" hidden="1" customHeight="1" x14ac:dyDescent="0.25">
      <c r="A357" s="1"/>
      <c r="B357" s="2" t="s">
        <v>345</v>
      </c>
      <c r="C357">
        <v>26.98</v>
      </c>
      <c r="D357"/>
    </row>
    <row r="358" spans="1:4" ht="14.25" hidden="1" customHeight="1" x14ac:dyDescent="0.25">
      <c r="A358" s="1"/>
      <c r="B358" s="2" t="s">
        <v>346</v>
      </c>
      <c r="C358">
        <v>7.21</v>
      </c>
      <c r="D358"/>
    </row>
    <row r="359" spans="1:4" ht="14.25" hidden="1" customHeight="1" x14ac:dyDescent="0.25">
      <c r="A359" s="1"/>
      <c r="B359" s="2" t="s">
        <v>347</v>
      </c>
      <c r="C359">
        <v>21.66</v>
      </c>
      <c r="D359"/>
    </row>
    <row r="360" spans="1:4" ht="14.25" hidden="1" customHeight="1" x14ac:dyDescent="0.25">
      <c r="A360" s="1"/>
      <c r="B360" s="2" t="s">
        <v>348</v>
      </c>
      <c r="C360">
        <v>7.38</v>
      </c>
      <c r="D360"/>
    </row>
    <row r="361" spans="1:4" ht="14.25" hidden="1" customHeight="1" x14ac:dyDescent="0.25">
      <c r="A361" s="1"/>
      <c r="B361" s="2" t="s">
        <v>349</v>
      </c>
      <c r="C361">
        <v>17.84</v>
      </c>
      <c r="D361"/>
    </row>
    <row r="362" spans="1:4" ht="14.25" hidden="1" customHeight="1" x14ac:dyDescent="0.25">
      <c r="A362" s="1"/>
      <c r="B362" s="2" t="s">
        <v>350</v>
      </c>
      <c r="C362">
        <v>1.55</v>
      </c>
      <c r="D362"/>
    </row>
    <row r="363" spans="1:4" ht="14.25" hidden="1" customHeight="1" x14ac:dyDescent="0.25">
      <c r="A363" s="1"/>
      <c r="B363" s="2" t="s">
        <v>351</v>
      </c>
      <c r="C363">
        <v>1.66</v>
      </c>
      <c r="D363"/>
    </row>
    <row r="364" spans="1:4" ht="14.25" hidden="1" customHeight="1" x14ac:dyDescent="0.25">
      <c r="A364" s="1"/>
      <c r="B364" s="2" t="s">
        <v>352</v>
      </c>
      <c r="C364">
        <v>5.24</v>
      </c>
      <c r="D364"/>
    </row>
    <row r="365" spans="1:4" ht="14.25" hidden="1" customHeight="1" x14ac:dyDescent="0.25">
      <c r="A365" s="1"/>
      <c r="B365" s="2" t="s">
        <v>353</v>
      </c>
      <c r="C365">
        <v>10.46</v>
      </c>
      <c r="D365"/>
    </row>
    <row r="366" spans="1:4" ht="14.25" hidden="1" customHeight="1" x14ac:dyDescent="0.25">
      <c r="A366" s="1"/>
      <c r="B366" s="2" t="s">
        <v>354</v>
      </c>
      <c r="C366">
        <v>7.21</v>
      </c>
      <c r="D366"/>
    </row>
    <row r="367" spans="1:4" ht="14.25" hidden="1" customHeight="1" x14ac:dyDescent="0.25">
      <c r="A367" s="1"/>
      <c r="B367" s="2" t="s">
        <v>355</v>
      </c>
      <c r="C367">
        <v>14.27</v>
      </c>
      <c r="D367"/>
    </row>
    <row r="368" spans="1:4" ht="14.25" hidden="1" customHeight="1" x14ac:dyDescent="0.25">
      <c r="A368" s="1"/>
      <c r="B368" s="2" t="s">
        <v>356</v>
      </c>
      <c r="C368">
        <v>6.76</v>
      </c>
      <c r="D368"/>
    </row>
    <row r="369" spans="1:40" ht="14.25" hidden="1" customHeight="1" x14ac:dyDescent="0.25">
      <c r="A369" s="1"/>
      <c r="B369" s="2" t="s">
        <v>357</v>
      </c>
      <c r="C369">
        <v>12.12</v>
      </c>
      <c r="D369"/>
    </row>
    <row r="370" spans="1:40" ht="14.25" hidden="1" customHeight="1" x14ac:dyDescent="0.25">
      <c r="A370" s="1"/>
      <c r="B370" s="2" t="s">
        <v>358</v>
      </c>
      <c r="C370">
        <v>79.87</v>
      </c>
      <c r="D370"/>
    </row>
    <row r="371" spans="1:40" ht="14.25" hidden="1" customHeight="1" x14ac:dyDescent="0.25">
      <c r="A371" s="1"/>
      <c r="C371"/>
      <c r="D371"/>
    </row>
    <row r="372" spans="1:40" ht="14.25" customHeight="1" x14ac:dyDescent="0.25">
      <c r="A372" s="35" t="s">
        <v>52</v>
      </c>
      <c r="B372" s="14" t="s">
        <v>391</v>
      </c>
      <c r="C372" s="33">
        <f>SUM(C373:C387)</f>
        <v>174.51000000000002</v>
      </c>
      <c r="D372" s="15" t="s">
        <v>420</v>
      </c>
      <c r="E372" s="15" t="s">
        <v>392</v>
      </c>
      <c r="F372" s="15"/>
      <c r="G372" s="15" t="s">
        <v>392</v>
      </c>
      <c r="H372" s="15" t="s">
        <v>392</v>
      </c>
      <c r="I372" s="15"/>
      <c r="J372" s="22">
        <v>0.9</v>
      </c>
      <c r="K372" s="16"/>
      <c r="L372" s="15" t="s">
        <v>392</v>
      </c>
      <c r="M372" s="15" t="s">
        <v>392</v>
      </c>
      <c r="N372" s="15" t="s">
        <v>392</v>
      </c>
      <c r="O372" s="15" t="s">
        <v>392</v>
      </c>
      <c r="P372" s="15" t="s">
        <v>392</v>
      </c>
      <c r="Q372" s="15" t="s">
        <v>392</v>
      </c>
      <c r="R372" s="15" t="s">
        <v>392</v>
      </c>
      <c r="S372" s="15" t="s">
        <v>392</v>
      </c>
      <c r="T372" s="15" t="s">
        <v>392</v>
      </c>
      <c r="U372" s="15" t="s">
        <v>392</v>
      </c>
      <c r="V372" s="15" t="s">
        <v>392</v>
      </c>
      <c r="W372" s="15" t="s">
        <v>392</v>
      </c>
      <c r="X372" s="15" t="s">
        <v>392</v>
      </c>
      <c r="Y372" s="19" t="s">
        <v>392</v>
      </c>
      <c r="Z372" s="19" t="s">
        <v>392</v>
      </c>
      <c r="AA372" s="18" t="s">
        <v>392</v>
      </c>
      <c r="AB372" s="15" t="s">
        <v>392</v>
      </c>
      <c r="AC372" s="21">
        <v>23</v>
      </c>
      <c r="AD372" s="17">
        <v>3.4</v>
      </c>
      <c r="AE372" s="15" t="s">
        <v>409</v>
      </c>
      <c r="AF372" s="15" t="s">
        <v>416</v>
      </c>
      <c r="AG372" s="15" t="s">
        <v>447</v>
      </c>
      <c r="AH372" s="15" t="s">
        <v>450</v>
      </c>
      <c r="AI372" s="15" t="s">
        <v>450</v>
      </c>
      <c r="AJ372" s="15" t="s">
        <v>450</v>
      </c>
      <c r="AK372" s="15" t="s">
        <v>450</v>
      </c>
      <c r="AL372" s="15" t="s">
        <v>450</v>
      </c>
      <c r="AM372" s="15" t="s">
        <v>450</v>
      </c>
      <c r="AN372" s="15"/>
    </row>
    <row r="373" spans="1:40" ht="14.25" hidden="1" customHeight="1" x14ac:dyDescent="0.25">
      <c r="A373" s="1"/>
      <c r="B373" s="2" t="s">
        <v>360</v>
      </c>
      <c r="C373">
        <v>12.57</v>
      </c>
      <c r="D373"/>
    </row>
    <row r="374" spans="1:40" ht="14.25" hidden="1" customHeight="1" x14ac:dyDescent="0.25">
      <c r="A374" s="1"/>
      <c r="B374" s="2" t="s">
        <v>361</v>
      </c>
      <c r="C374">
        <v>4.84</v>
      </c>
      <c r="D374"/>
    </row>
    <row r="375" spans="1:40" ht="14.25" hidden="1" customHeight="1" x14ac:dyDescent="0.25">
      <c r="A375" s="1"/>
      <c r="B375" s="2" t="s">
        <v>362</v>
      </c>
      <c r="C375">
        <v>12.57</v>
      </c>
      <c r="D375"/>
    </row>
    <row r="376" spans="1:40" ht="14.25" hidden="1" customHeight="1" x14ac:dyDescent="0.25">
      <c r="A376" s="1"/>
      <c r="B376" s="2" t="s">
        <v>363</v>
      </c>
      <c r="C376">
        <v>4.84</v>
      </c>
      <c r="D376"/>
    </row>
    <row r="377" spans="1:40" ht="14.25" hidden="1" customHeight="1" x14ac:dyDescent="0.25">
      <c r="A377" s="1"/>
      <c r="B377" s="2" t="s">
        <v>364</v>
      </c>
      <c r="C377">
        <v>13.3</v>
      </c>
      <c r="D377"/>
    </row>
    <row r="378" spans="1:40" ht="14.25" hidden="1" customHeight="1" x14ac:dyDescent="0.25">
      <c r="A378" s="1"/>
      <c r="B378" s="2" t="s">
        <v>365</v>
      </c>
      <c r="C378">
        <v>4.84</v>
      </c>
      <c r="D378"/>
    </row>
    <row r="379" spans="1:40" ht="14.25" hidden="1" customHeight="1" x14ac:dyDescent="0.25">
      <c r="A379" s="1"/>
      <c r="B379" s="2" t="s">
        <v>366</v>
      </c>
      <c r="C379">
        <v>12.57</v>
      </c>
      <c r="D379"/>
    </row>
    <row r="380" spans="1:40" ht="14.25" hidden="1" customHeight="1" x14ac:dyDescent="0.25">
      <c r="A380" s="1"/>
      <c r="B380" s="2" t="s">
        <v>367</v>
      </c>
      <c r="C380">
        <v>4.84</v>
      </c>
      <c r="D380"/>
    </row>
    <row r="381" spans="1:40" ht="14.25" hidden="1" customHeight="1" x14ac:dyDescent="0.25">
      <c r="A381" s="1"/>
      <c r="B381" s="2" t="s">
        <v>368</v>
      </c>
      <c r="C381">
        <v>12.57</v>
      </c>
      <c r="D381"/>
    </row>
    <row r="382" spans="1:40" ht="14.25" hidden="1" customHeight="1" x14ac:dyDescent="0.25">
      <c r="A382" s="1"/>
      <c r="B382" s="2" t="s">
        <v>369</v>
      </c>
      <c r="C382">
        <v>4.84</v>
      </c>
      <c r="D382"/>
    </row>
    <row r="383" spans="1:40" ht="14.25" hidden="1" customHeight="1" x14ac:dyDescent="0.25">
      <c r="A383" s="1"/>
      <c r="B383" s="2" t="s">
        <v>370</v>
      </c>
      <c r="C383">
        <v>16.18</v>
      </c>
      <c r="D383"/>
    </row>
    <row r="384" spans="1:40" ht="14.25" hidden="1" customHeight="1" x14ac:dyDescent="0.25">
      <c r="A384" s="1"/>
      <c r="B384" s="2" t="s">
        <v>371</v>
      </c>
      <c r="C384">
        <v>4.84</v>
      </c>
      <c r="D384"/>
    </row>
    <row r="385" spans="1:40" ht="14.25" hidden="1" customHeight="1" x14ac:dyDescent="0.25">
      <c r="A385" s="1"/>
      <c r="B385" s="2" t="s">
        <v>372</v>
      </c>
      <c r="C385">
        <v>18.63</v>
      </c>
      <c r="D385"/>
    </row>
    <row r="386" spans="1:40" ht="14.25" hidden="1" customHeight="1" x14ac:dyDescent="0.25">
      <c r="A386" s="1"/>
      <c r="B386" s="2" t="s">
        <v>379</v>
      </c>
      <c r="C386">
        <v>4.84</v>
      </c>
      <c r="D386"/>
    </row>
    <row r="387" spans="1:40" ht="14.25" hidden="1" customHeight="1" x14ac:dyDescent="0.25">
      <c r="A387" s="1"/>
      <c r="B387" s="2" t="s">
        <v>373</v>
      </c>
      <c r="C387">
        <v>42.24</v>
      </c>
      <c r="D387"/>
    </row>
    <row r="388" spans="1:40" ht="14.25" hidden="1" customHeight="1" x14ac:dyDescent="0.25">
      <c r="A388" s="1"/>
      <c r="C388"/>
      <c r="D388"/>
    </row>
    <row r="389" spans="1:40" ht="14.25" customHeight="1" x14ac:dyDescent="0.25">
      <c r="A389" s="34" t="s">
        <v>460</v>
      </c>
      <c r="B389" s="14" t="s">
        <v>462</v>
      </c>
      <c r="C389" s="21">
        <v>30</v>
      </c>
      <c r="D389" s="15" t="s">
        <v>435</v>
      </c>
      <c r="E389" s="16">
        <v>0.9</v>
      </c>
      <c r="F389" s="16">
        <v>0.9</v>
      </c>
      <c r="G389" s="16">
        <v>15</v>
      </c>
      <c r="H389" s="16">
        <v>3</v>
      </c>
      <c r="I389" s="16">
        <f t="shared" ref="I389:I390" si="0">+G389+H389</f>
        <v>18</v>
      </c>
      <c r="J389" s="17">
        <f t="shared" ref="J389:J390" si="1">+(G389*E389+H389*F389)/(G389+H389)</f>
        <v>0.89999999999999991</v>
      </c>
      <c r="K389" s="15">
        <v>30</v>
      </c>
      <c r="L389" s="15">
        <v>0</v>
      </c>
      <c r="M389" s="15">
        <v>0</v>
      </c>
      <c r="N389" s="15">
        <v>2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0</v>
      </c>
      <c r="U389" s="15">
        <v>0</v>
      </c>
      <c r="V389" s="18">
        <f>+(L389*Otvory!D$1+M389*Otvory!D$2+N389*Otvory!D$3+O389*Otvory!D$4+P389*Otvory!D$5+Q389*Otvory!D$6+R389*Otvory!D$7+S389*Otvory!D$8+T389*Otvory!D$9+U389*Otvory!D$10)</f>
        <v>1.08</v>
      </c>
      <c r="W389" s="18">
        <f>+(L389*Otvory!D$1*Otvory!C$1+M389*Otvory!D$2*Otvory!C$2+N389*Otvory!D$3*Otvory!C$3+O389*Otvory!D$4*Otvory!C$4+P389*Otvory!D$5*Otvory!C$5)/V389</f>
        <v>0.6</v>
      </c>
      <c r="X389" s="17">
        <v>2.8</v>
      </c>
      <c r="Y389" s="19">
        <f>SQRT(W389/X389) * V389/C389</f>
        <v>1.6664761795905928E-2</v>
      </c>
      <c r="Z389" s="19">
        <v>3.3000000000000002E-2</v>
      </c>
      <c r="AA389" s="20">
        <f>+C389*Z389/(L389*Otvory!D$1*SQRT(Otvory!C$1)+M389*Otvory!D$2*SQRT(Otvory!C$2)+N389*Otvory!D$3*SQRT(Otvory!C$3)+O389*Otvory!D$4*SQRT(Otvory!C$4)+P389*Otvory!D$5*SQRT(Otvory!C$5))</f>
        <v>1.1834115780078216</v>
      </c>
      <c r="AB389" s="16">
        <v>1</v>
      </c>
      <c r="AC389" s="21">
        <f t="shared" ref="AC389:AC390" si="2">+I389*J389*AA389*AB389</f>
        <v>19.171267563726708</v>
      </c>
      <c r="AD389" s="17">
        <v>6.5</v>
      </c>
      <c r="AE389" s="15" t="s">
        <v>409</v>
      </c>
      <c r="AF389" s="15" t="s">
        <v>482</v>
      </c>
      <c r="AG389" s="15" t="s">
        <v>447</v>
      </c>
      <c r="AH389" s="15" t="s">
        <v>450</v>
      </c>
      <c r="AI389" s="15" t="s">
        <v>450</v>
      </c>
      <c r="AJ389" s="15" t="s">
        <v>450</v>
      </c>
      <c r="AK389" s="15" t="s">
        <v>457</v>
      </c>
      <c r="AL389" s="15" t="s">
        <v>450</v>
      </c>
      <c r="AM389" s="15" t="s">
        <v>450</v>
      </c>
      <c r="AN389" s="15"/>
    </row>
    <row r="390" spans="1:40" ht="14.25" customHeight="1" x14ac:dyDescent="0.25">
      <c r="A390" s="34" t="s">
        <v>461</v>
      </c>
      <c r="B390" s="14" t="s">
        <v>463</v>
      </c>
      <c r="C390" s="21">
        <v>35</v>
      </c>
      <c r="D390" s="15" t="s">
        <v>430</v>
      </c>
      <c r="E390" s="16">
        <v>0.9</v>
      </c>
      <c r="F390" s="16">
        <v>0.9</v>
      </c>
      <c r="G390" s="16">
        <v>15</v>
      </c>
      <c r="H390" s="16">
        <v>3</v>
      </c>
      <c r="I390" s="16">
        <f t="shared" si="0"/>
        <v>18</v>
      </c>
      <c r="J390" s="17">
        <f t="shared" si="1"/>
        <v>0.89999999999999991</v>
      </c>
      <c r="K390" s="15">
        <v>35</v>
      </c>
      <c r="L390" s="15">
        <v>0</v>
      </c>
      <c r="M390" s="15">
        <v>0</v>
      </c>
      <c r="N390" s="15">
        <v>3</v>
      </c>
      <c r="O390" s="15">
        <v>0</v>
      </c>
      <c r="P390" s="15">
        <v>0</v>
      </c>
      <c r="Q390" s="15">
        <v>0</v>
      </c>
      <c r="R390" s="15">
        <v>0</v>
      </c>
      <c r="S390" s="15">
        <v>0</v>
      </c>
      <c r="T390" s="15">
        <v>0</v>
      </c>
      <c r="U390" s="15">
        <v>0</v>
      </c>
      <c r="V390" s="18">
        <f>+(L390*Otvory!D$1+M390*Otvory!D$2+N390*Otvory!D$3+O390*Otvory!D$4+P390*Otvory!D$5+Q390*Otvory!D$6+R390*Otvory!D$7+S390*Otvory!D$8+T390*Otvory!D$9+U390*Otvory!D$10)</f>
        <v>1.62</v>
      </c>
      <c r="W390" s="18">
        <f>+(L390*Otvory!D$1*Otvory!C$1+M390*Otvory!D$2*Otvory!C$2+N390*Otvory!D$3*Otvory!C$3+O390*Otvory!D$4*Otvory!C$4+P390*Otvory!D$5*Otvory!C$5)/V390</f>
        <v>0.6</v>
      </c>
      <c r="X390" s="17">
        <v>2.8</v>
      </c>
      <c r="Y390" s="19">
        <f>SQRT(W390/X390) * V390/C390</f>
        <v>2.1426122309021911E-2</v>
      </c>
      <c r="Z390" s="19">
        <v>4.1000000000000002E-2</v>
      </c>
      <c r="AA390" s="20">
        <f>+C390*Z390/(L390*Otvory!D$1*SQRT(Otvory!C$1)+M390*Otvory!D$2*SQRT(Otvory!C$2)+N390*Otvory!D$3*SQRT(Otvory!C$3)+O390*Otvory!D$4*SQRT(Otvory!C$4)+P390*Otvory!D$5*SQRT(Otvory!C$5))</f>
        <v>1.1435660703307906</v>
      </c>
      <c r="AB390" s="16">
        <v>1</v>
      </c>
      <c r="AC390" s="21">
        <f t="shared" si="2"/>
        <v>18.525770339358807</v>
      </c>
      <c r="AD390" s="17">
        <v>6.5</v>
      </c>
      <c r="AE390" s="15" t="s">
        <v>409</v>
      </c>
      <c r="AF390" s="15" t="s">
        <v>482</v>
      </c>
      <c r="AG390" s="15" t="s">
        <v>447</v>
      </c>
      <c r="AH390" s="3" t="s">
        <v>450</v>
      </c>
      <c r="AI390" s="3" t="s">
        <v>450</v>
      </c>
      <c r="AJ390" s="3" t="s">
        <v>450</v>
      </c>
      <c r="AK390" s="31" t="s">
        <v>457</v>
      </c>
      <c r="AL390" s="15" t="s">
        <v>450</v>
      </c>
      <c r="AM390" s="15" t="s">
        <v>450</v>
      </c>
    </row>
    <row r="391" spans="1:40" ht="14.25" hidden="1" customHeight="1" x14ac:dyDescent="0.25">
      <c r="A391" s="1"/>
      <c r="C391"/>
      <c r="D391"/>
    </row>
    <row r="392" spans="1:40" ht="14.25" customHeight="1" x14ac:dyDescent="0.25">
      <c r="A392" s="35" t="s">
        <v>55</v>
      </c>
      <c r="B392" s="14" t="s">
        <v>59</v>
      </c>
      <c r="C392" s="33">
        <f>+C393</f>
        <v>31.05</v>
      </c>
      <c r="D392" s="15" t="s">
        <v>444</v>
      </c>
      <c r="E392" s="16">
        <v>1.05</v>
      </c>
      <c r="F392" s="16">
        <v>0.9</v>
      </c>
      <c r="G392" s="16">
        <v>75</v>
      </c>
      <c r="H392" s="16">
        <v>2</v>
      </c>
      <c r="I392" s="16">
        <f>+G392+H392</f>
        <v>77</v>
      </c>
      <c r="J392" s="17">
        <f>+(G392*E392+H392*F392)/(G392+H392)</f>
        <v>1.046103896103896</v>
      </c>
      <c r="K392" s="15">
        <v>30</v>
      </c>
      <c r="L392" s="15">
        <v>0</v>
      </c>
      <c r="M392" s="15">
        <v>0</v>
      </c>
      <c r="N392" s="15">
        <v>0</v>
      </c>
      <c r="O392" s="15">
        <v>0</v>
      </c>
      <c r="P392" s="15">
        <v>0</v>
      </c>
      <c r="Q392" s="15">
        <v>0</v>
      </c>
      <c r="R392" s="15">
        <v>0</v>
      </c>
      <c r="S392" s="15">
        <v>0</v>
      </c>
      <c r="T392" s="15">
        <v>0</v>
      </c>
      <c r="U392" s="15">
        <v>0</v>
      </c>
      <c r="V392" s="18">
        <f>+(L392*Otvory!D$1+M392*Otvory!D$2+N392*Otvory!D$3+O392*Otvory!D$4+P392*Otvory!D$5+Q392*Otvory!D$6+R392*Otvory!D$7+S392*Otvory!D$8+T392*Otvory!D$9+U392*Otvory!D$10)</f>
        <v>0</v>
      </c>
      <c r="W392" s="18">
        <v>0</v>
      </c>
      <c r="X392" s="17">
        <v>2.8</v>
      </c>
      <c r="Y392" s="19">
        <v>5.0000000000000001E-3</v>
      </c>
      <c r="Z392" s="19">
        <v>1.0999999999999999E-2</v>
      </c>
      <c r="AA392" s="20">
        <f>Z392/0.005/SQRT(X392)</f>
        <v>1.3147514702678329</v>
      </c>
      <c r="AB392" s="16">
        <v>1</v>
      </c>
      <c r="AC392" s="21">
        <f>+I392*J392*AA392*AB392</f>
        <v>105.90323093007393</v>
      </c>
      <c r="AD392" s="17">
        <v>6</v>
      </c>
      <c r="AE392" s="15" t="s">
        <v>544</v>
      </c>
      <c r="AF392" s="15" t="s">
        <v>419</v>
      </c>
      <c r="AG392" s="15" t="s">
        <v>447</v>
      </c>
      <c r="AH392" s="13" t="s">
        <v>545</v>
      </c>
      <c r="AI392" s="13" t="s">
        <v>545</v>
      </c>
      <c r="AJ392" s="13" t="s">
        <v>545</v>
      </c>
      <c r="AK392" s="15" t="s">
        <v>450</v>
      </c>
      <c r="AL392" s="15" t="s">
        <v>450</v>
      </c>
      <c r="AM392" s="15" t="s">
        <v>450</v>
      </c>
      <c r="AN392" s="15"/>
    </row>
    <row r="393" spans="1:40" ht="14.25" hidden="1" customHeight="1" x14ac:dyDescent="0.25">
      <c r="A393" s="1"/>
      <c r="B393" s="2" t="s">
        <v>313</v>
      </c>
      <c r="C393">
        <v>31.05</v>
      </c>
      <c r="D393"/>
    </row>
    <row r="394" spans="1:40" ht="14.25" hidden="1" customHeight="1" x14ac:dyDescent="0.25">
      <c r="A394" s="1"/>
      <c r="C394"/>
      <c r="D394"/>
    </row>
    <row r="395" spans="1:40" ht="14.25" customHeight="1" x14ac:dyDescent="0.25">
      <c r="A395" s="35" t="s">
        <v>56</v>
      </c>
      <c r="B395" s="14" t="s">
        <v>59</v>
      </c>
      <c r="C395" s="33">
        <f>+C396</f>
        <v>28.58</v>
      </c>
      <c r="D395" s="15" t="s">
        <v>435</v>
      </c>
      <c r="E395" s="16">
        <v>1.05</v>
      </c>
      <c r="F395" s="16">
        <v>0.9</v>
      </c>
      <c r="G395" s="16">
        <v>75</v>
      </c>
      <c r="H395" s="16">
        <v>2</v>
      </c>
      <c r="I395" s="16">
        <f>+G395+H395</f>
        <v>77</v>
      </c>
      <c r="J395" s="17">
        <f>+(G395*E395+H395*F395)/(G395+H395)</f>
        <v>1.046103896103896</v>
      </c>
      <c r="K395" s="15">
        <v>24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8">
        <f>+(L395*Otvory!D$1+M395*Otvory!D$2+N395*Otvory!D$3+O395*Otvory!D$4+P395*Otvory!D$5+Q395*Otvory!D$6+R395*Otvory!D$7+S395*Otvory!D$8+T395*Otvory!D$9+U395*Otvory!D$10)</f>
        <v>0</v>
      </c>
      <c r="W395" s="18">
        <v>0</v>
      </c>
      <c r="X395" s="17">
        <v>2.8</v>
      </c>
      <c r="Y395" s="19">
        <v>5.0000000000000001E-3</v>
      </c>
      <c r="Z395" s="19">
        <v>1.0999999999999999E-2</v>
      </c>
      <c r="AA395" s="20">
        <f>Z395/0.005/SQRT(X395)</f>
        <v>1.3147514702678329</v>
      </c>
      <c r="AB395" s="16">
        <v>1</v>
      </c>
      <c r="AC395" s="21">
        <f>+I395*J395*AA395*AB395</f>
        <v>105.90323093007393</v>
      </c>
      <c r="AD395" s="17">
        <v>6</v>
      </c>
      <c r="AE395" s="15" t="s">
        <v>544</v>
      </c>
      <c r="AF395" s="15" t="s">
        <v>419</v>
      </c>
      <c r="AG395" s="15" t="s">
        <v>447</v>
      </c>
      <c r="AH395" s="13" t="s">
        <v>545</v>
      </c>
      <c r="AI395" s="13" t="s">
        <v>545</v>
      </c>
      <c r="AJ395" s="13" t="s">
        <v>545</v>
      </c>
      <c r="AK395" s="15" t="s">
        <v>450</v>
      </c>
      <c r="AL395" s="15" t="s">
        <v>450</v>
      </c>
      <c r="AM395" s="15" t="s">
        <v>450</v>
      </c>
      <c r="AN395" s="15"/>
    </row>
    <row r="396" spans="1:40" ht="14.25" hidden="1" customHeight="1" x14ac:dyDescent="0.25">
      <c r="A396" s="1"/>
      <c r="B396" s="2" t="s">
        <v>314</v>
      </c>
      <c r="C396">
        <v>28.58</v>
      </c>
      <c r="D396"/>
      <c r="AI396" s="3" t="s">
        <v>456</v>
      </c>
    </row>
    <row r="397" spans="1:40" ht="14.25" hidden="1" customHeight="1" x14ac:dyDescent="0.25">
      <c r="A397" s="1"/>
      <c r="C397"/>
      <c r="D397"/>
      <c r="AI397" s="3" t="s">
        <v>456</v>
      </c>
    </row>
    <row r="398" spans="1:40" ht="14.25" customHeight="1" x14ac:dyDescent="0.25">
      <c r="A398" s="35" t="s">
        <v>57</v>
      </c>
      <c r="B398" s="14" t="s">
        <v>60</v>
      </c>
      <c r="C398" s="33">
        <f>+C399</f>
        <v>53.3</v>
      </c>
      <c r="D398" s="15" t="s">
        <v>445</v>
      </c>
      <c r="E398" s="16">
        <v>0.9</v>
      </c>
      <c r="F398" s="16">
        <v>0.9</v>
      </c>
      <c r="G398" s="16">
        <v>10</v>
      </c>
      <c r="H398" s="16">
        <v>2</v>
      </c>
      <c r="I398" s="16">
        <f>+G398+H398</f>
        <v>12</v>
      </c>
      <c r="J398" s="17">
        <f>+(G398*E398+H398*F398)/(G398+H398)</f>
        <v>0.9</v>
      </c>
      <c r="K398" s="15">
        <v>50</v>
      </c>
      <c r="L398" s="15">
        <v>0</v>
      </c>
      <c r="M398" s="15">
        <v>0</v>
      </c>
      <c r="N398" s="15">
        <v>0</v>
      </c>
      <c r="O398" s="15">
        <v>0</v>
      </c>
      <c r="P398" s="15">
        <v>6</v>
      </c>
      <c r="Q398" s="15">
        <v>0</v>
      </c>
      <c r="R398" s="15">
        <v>0</v>
      </c>
      <c r="S398" s="15">
        <v>0</v>
      </c>
      <c r="T398" s="15">
        <v>0</v>
      </c>
      <c r="U398" s="15">
        <v>0</v>
      </c>
      <c r="V398" s="18">
        <f>+(L398*Otvory!D$1+M398*Otvory!D$2+N398*Otvory!D$3+O398*Otvory!D$4+P398*Otvory!D$5+Q398*Otvory!D$6+R398*Otvory!D$7+S398*Otvory!D$8+T398*Otvory!D$9+U398*Otvory!D$10)</f>
        <v>24.839999999999996</v>
      </c>
      <c r="W398" s="18">
        <f>+(L398*Otvory!D$1*Otvory!C$1+M398*Otvory!D$2*Otvory!C$2+N398*Otvory!D$3*Otvory!C$3+O398*Otvory!D$4*Otvory!C$4+P398*Otvory!D$5*Otvory!C$5)/V398</f>
        <v>2.2999999999999998</v>
      </c>
      <c r="X398" s="17">
        <v>2.8</v>
      </c>
      <c r="Y398" s="19">
        <f>SQRT(W398/X398) * V398/C398</f>
        <v>0.42238577607178512</v>
      </c>
      <c r="Z398" s="19">
        <v>0.26400000000000001</v>
      </c>
      <c r="AA398" s="20">
        <f>+C398*Z398/(L398*Otvory!D$1*SQRT(Otvory!C$1)+M398*Otvory!D$2*SQRT(Otvory!C$2)+N398*Otvory!D$3*SQRT(Otvory!C$3)+O398*Otvory!D$4*SQRT(Otvory!C$4)+P398*Otvory!D$5*SQRT(Otvory!C$5))</f>
        <v>0.37352151840768116</v>
      </c>
      <c r="AB398" s="16">
        <v>1</v>
      </c>
      <c r="AC398" s="21">
        <f>+I398*J398*AA398*AB398</f>
        <v>4.0340323988029567</v>
      </c>
      <c r="AD398" s="17">
        <v>6</v>
      </c>
      <c r="AE398" s="15" t="s">
        <v>408</v>
      </c>
      <c r="AF398" s="15" t="s">
        <v>416</v>
      </c>
      <c r="AG398" s="15" t="s">
        <v>447</v>
      </c>
      <c r="AH398" s="3" t="s">
        <v>450</v>
      </c>
      <c r="AI398" s="3" t="s">
        <v>450</v>
      </c>
      <c r="AJ398" s="3" t="s">
        <v>450</v>
      </c>
      <c r="AK398" s="15" t="s">
        <v>450</v>
      </c>
      <c r="AL398" s="15" t="s">
        <v>450</v>
      </c>
      <c r="AM398" s="15" t="s">
        <v>450</v>
      </c>
      <c r="AN398" s="15"/>
    </row>
    <row r="399" spans="1:40" ht="14.25" hidden="1" customHeight="1" x14ac:dyDescent="0.25">
      <c r="A399" s="1"/>
      <c r="B399" s="2" t="s">
        <v>315</v>
      </c>
      <c r="C399">
        <v>53.3</v>
      </c>
      <c r="D399"/>
    </row>
    <row r="400" spans="1:40" ht="14.25" hidden="1" customHeight="1" x14ac:dyDescent="0.25">
      <c r="A400" s="1"/>
      <c r="C400"/>
      <c r="D400"/>
    </row>
    <row r="401" spans="1:40" ht="14.25" customHeight="1" x14ac:dyDescent="0.25">
      <c r="A401" s="35" t="s">
        <v>58</v>
      </c>
      <c r="B401" s="14" t="s">
        <v>61</v>
      </c>
      <c r="C401" s="33">
        <f>SUM(C402:C406)</f>
        <v>49.27</v>
      </c>
      <c r="D401" s="15" t="s">
        <v>444</v>
      </c>
      <c r="E401" s="16">
        <v>1</v>
      </c>
      <c r="F401" s="16">
        <v>0.9</v>
      </c>
      <c r="G401" s="16">
        <v>30</v>
      </c>
      <c r="H401" s="16">
        <v>5</v>
      </c>
      <c r="I401" s="16">
        <v>50</v>
      </c>
      <c r="J401" s="17">
        <f>+(G401*E401+H401*F401)/(G401+H401)</f>
        <v>0.98571428571428577</v>
      </c>
      <c r="K401" s="15">
        <v>15</v>
      </c>
      <c r="L401" s="15">
        <v>4</v>
      </c>
      <c r="M401" s="15">
        <v>0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0</v>
      </c>
      <c r="V401" s="18">
        <f>+(L401*Otvory!D$1+M401*Otvory!D$2+N401*Otvory!D$3+O401*Otvory!D$4+P401*Otvory!D$5+Q401*Otvory!D$6+R401*Otvory!D$7+S401*Otvory!D$8+T401*Otvory!D$9+U401*Otvory!D$10)</f>
        <v>5.4</v>
      </c>
      <c r="W401" s="18">
        <f>+(L401*Otvory!D$1*Otvory!C$1+M401*Otvory!D$2*Otvory!C$2+N401*Otvory!D$3*Otvory!C$3+O401*Otvory!D$4*Otvory!C$4+P401*Otvory!D$5*Otvory!C$5)/V401</f>
        <v>1.5000000000000002</v>
      </c>
      <c r="X401" s="17">
        <v>2.8</v>
      </c>
      <c r="Y401" s="19">
        <f>SQRT(W401/X401) * V401/C401</f>
        <v>8.0219104839487715E-2</v>
      </c>
      <c r="Z401" s="19">
        <v>0.127</v>
      </c>
      <c r="AA401" s="20">
        <f>+C401*Z401/(L401*Otvory!D$1*SQRT(Otvory!C$1)+M401*Otvory!D$2*SQRT(Otvory!C$2)+N401*Otvory!D$3*SQRT(Otvory!C$3)+O401*Otvory!D$4*SQRT(Otvory!C$4)+P401*Otvory!D$5*SQRT(Otvory!C$5))</f>
        <v>0.94612146127282426</v>
      </c>
      <c r="AB401" s="16">
        <v>1</v>
      </c>
      <c r="AC401" s="21">
        <f>+I401*J401*AA401*AB401</f>
        <v>46.630272019874916</v>
      </c>
      <c r="AD401" s="17">
        <v>6.5</v>
      </c>
      <c r="AE401" s="15" t="s">
        <v>411</v>
      </c>
      <c r="AF401" s="15" t="s">
        <v>419</v>
      </c>
      <c r="AG401" s="15" t="s">
        <v>447</v>
      </c>
      <c r="AH401" s="13" t="s">
        <v>456</v>
      </c>
      <c r="AI401" s="13" t="s">
        <v>456</v>
      </c>
      <c r="AJ401" s="13" t="s">
        <v>456</v>
      </c>
      <c r="AK401" s="15" t="s">
        <v>450</v>
      </c>
      <c r="AL401" s="15" t="s">
        <v>450</v>
      </c>
      <c r="AM401" s="15" t="s">
        <v>450</v>
      </c>
      <c r="AN401" s="15"/>
    </row>
    <row r="402" spans="1:40" ht="14.25" hidden="1" customHeight="1" x14ac:dyDescent="0.25">
      <c r="A402" s="1"/>
      <c r="B402" s="2" t="s">
        <v>316</v>
      </c>
      <c r="C402">
        <v>14.19</v>
      </c>
      <c r="D402"/>
      <c r="AI402" s="3" t="s">
        <v>456</v>
      </c>
    </row>
    <row r="403" spans="1:40" ht="14.25" hidden="1" customHeight="1" x14ac:dyDescent="0.25">
      <c r="A403" s="1"/>
      <c r="B403" s="2" t="s">
        <v>311</v>
      </c>
      <c r="C403">
        <v>15.47</v>
      </c>
      <c r="D403"/>
      <c r="AI403" s="3" t="s">
        <v>456</v>
      </c>
    </row>
    <row r="404" spans="1:40" ht="14.25" hidden="1" customHeight="1" x14ac:dyDescent="0.25">
      <c r="A404" s="1"/>
      <c r="B404" s="2" t="s">
        <v>312</v>
      </c>
      <c r="C404">
        <v>2.12</v>
      </c>
      <c r="D404"/>
    </row>
    <row r="405" spans="1:40" ht="14.25" hidden="1" customHeight="1" x14ac:dyDescent="0.25">
      <c r="A405" s="1"/>
      <c r="B405" s="2" t="s">
        <v>374</v>
      </c>
      <c r="C405">
        <v>13.75</v>
      </c>
      <c r="D405"/>
    </row>
    <row r="406" spans="1:40" ht="14.25" hidden="1" customHeight="1" x14ac:dyDescent="0.25">
      <c r="A406" s="1"/>
      <c r="B406" s="2" t="s">
        <v>375</v>
      </c>
      <c r="C406">
        <v>3.74</v>
      </c>
      <c r="D406"/>
    </row>
    <row r="407" spans="1:40" ht="14.25" hidden="1" customHeight="1" x14ac:dyDescent="0.25">
      <c r="A407" s="1"/>
      <c r="C407"/>
      <c r="D407"/>
    </row>
    <row r="408" spans="1:40" ht="14.25" hidden="1" customHeight="1" x14ac:dyDescent="0.25">
      <c r="A408" s="1"/>
      <c r="C408"/>
      <c r="D408"/>
    </row>
    <row r="409" spans="1:40" ht="14.25" hidden="1" customHeight="1" x14ac:dyDescent="0.25">
      <c r="A409" s="1"/>
      <c r="C409" s="5"/>
      <c r="D409" s="4"/>
    </row>
    <row r="410" spans="1:40" ht="14.25" customHeight="1" x14ac:dyDescent="0.25">
      <c r="B410" s="57"/>
      <c r="C410" s="15"/>
      <c r="D410" s="15"/>
      <c r="E410" s="16"/>
      <c r="F410" s="16"/>
      <c r="G410" s="16"/>
      <c r="H410" s="16"/>
      <c r="I410" s="16"/>
      <c r="J410" s="22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20"/>
      <c r="W410" s="18"/>
      <c r="X410" s="22"/>
      <c r="Y410" s="41"/>
      <c r="Z410" s="41"/>
      <c r="AA410" s="20"/>
      <c r="AB410" s="16"/>
      <c r="AC410" s="21"/>
      <c r="AD410" s="17"/>
      <c r="AE410" s="15"/>
      <c r="AF410" s="15"/>
      <c r="AG410" s="15"/>
      <c r="AK410" s="15"/>
      <c r="AL410" s="15"/>
      <c r="AM410" s="15"/>
      <c r="AN410" s="15"/>
    </row>
    <row r="411" spans="1:40" ht="14.25" customHeight="1" x14ac:dyDescent="0.25">
      <c r="B411" s="57"/>
      <c r="C411" s="15"/>
      <c r="D411" s="15"/>
      <c r="E411" s="16"/>
      <c r="F411" s="16"/>
      <c r="G411" s="16"/>
      <c r="H411" s="16"/>
      <c r="I411" s="16"/>
      <c r="J411" s="22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20"/>
      <c r="W411" s="18"/>
      <c r="X411" s="22"/>
      <c r="Y411" s="41"/>
      <c r="Z411" s="41"/>
      <c r="AA411" s="20"/>
      <c r="AB411" s="16"/>
      <c r="AC411" s="21"/>
      <c r="AD411" s="17"/>
      <c r="AE411" s="15"/>
      <c r="AF411" s="15"/>
      <c r="AG411" s="15"/>
    </row>
  </sheetData>
  <autoFilter ref="AE1:AE409">
    <filterColumn colId="0">
      <customFilters>
        <customFilter operator="notEqual" val=" "/>
      </customFilters>
    </filterColumn>
  </autoFilter>
  <pageMargins left="0.7" right="0.7" top="0.78740157499999996" bottom="0.78740157499999996" header="0.3" footer="0.3"/>
  <pageSetup paperSize="9"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7" sqref="B7"/>
    </sheetView>
  </sheetViews>
  <sheetFormatPr defaultRowHeight="15" x14ac:dyDescent="0.25"/>
  <sheetData>
    <row r="1" spans="1:4" x14ac:dyDescent="0.25">
      <c r="A1" s="5" t="s">
        <v>403</v>
      </c>
      <c r="B1" s="5">
        <v>0.9</v>
      </c>
      <c r="C1" s="5">
        <v>1.5</v>
      </c>
      <c r="D1">
        <f>+B1*C1</f>
        <v>1.35</v>
      </c>
    </row>
    <row r="2" spans="1:4" x14ac:dyDescent="0.25">
      <c r="A2" s="5" t="s">
        <v>404</v>
      </c>
      <c r="B2" s="5">
        <v>0.9</v>
      </c>
      <c r="C2" s="5">
        <v>2.2000000000000002</v>
      </c>
      <c r="D2">
        <f>+B2*C2</f>
        <v>1.9800000000000002</v>
      </c>
    </row>
    <row r="3" spans="1:4" x14ac:dyDescent="0.25">
      <c r="A3" s="5" t="s">
        <v>405</v>
      </c>
      <c r="B3">
        <v>0.9</v>
      </c>
      <c r="C3">
        <v>0.6</v>
      </c>
      <c r="D3">
        <f>+B3*C3</f>
        <v>0.54</v>
      </c>
    </row>
    <row r="4" spans="1:4" x14ac:dyDescent="0.25">
      <c r="A4" t="s">
        <v>464</v>
      </c>
      <c r="B4">
        <v>0.9</v>
      </c>
      <c r="C4">
        <v>2</v>
      </c>
      <c r="D4">
        <f>+B4*C4</f>
        <v>1.8</v>
      </c>
    </row>
    <row r="5" spans="1:4" x14ac:dyDescent="0.25">
      <c r="A5" t="s">
        <v>477</v>
      </c>
      <c r="B5">
        <v>1.8</v>
      </c>
      <c r="C5">
        <v>2.2999999999999998</v>
      </c>
      <c r="D5">
        <f>+B5*C5</f>
        <v>4.1399999999999997</v>
      </c>
    </row>
    <row r="6" spans="1:4" x14ac:dyDescent="0.25">
      <c r="A6" t="s">
        <v>465</v>
      </c>
      <c r="B6">
        <v>0.8</v>
      </c>
      <c r="C6">
        <v>1.5</v>
      </c>
      <c r="D6">
        <f t="shared" ref="D6:D9" si="0">+B6*C6</f>
        <v>1.2000000000000002</v>
      </c>
    </row>
    <row r="7" spans="1:4" x14ac:dyDescent="0.25">
      <c r="A7" t="s">
        <v>466</v>
      </c>
      <c r="B7">
        <v>1.25</v>
      </c>
      <c r="C7">
        <v>2.2999999999999998</v>
      </c>
      <c r="D7">
        <f t="shared" si="0"/>
        <v>2.875</v>
      </c>
    </row>
    <row r="8" spans="1:4" x14ac:dyDescent="0.25">
      <c r="A8" t="s">
        <v>467</v>
      </c>
      <c r="B8">
        <v>0.6</v>
      </c>
      <c r="C8">
        <v>0.6</v>
      </c>
      <c r="D8">
        <f t="shared" si="0"/>
        <v>0.36</v>
      </c>
    </row>
    <row r="9" spans="1:4" x14ac:dyDescent="0.25">
      <c r="A9" t="s">
        <v>476</v>
      </c>
      <c r="B9">
        <v>0.8</v>
      </c>
      <c r="C9">
        <v>2</v>
      </c>
      <c r="D9">
        <f t="shared" si="0"/>
        <v>1.6</v>
      </c>
    </row>
    <row r="10" spans="1:4" x14ac:dyDescent="0.25">
      <c r="A10" t="s">
        <v>478</v>
      </c>
      <c r="B10">
        <v>1.4</v>
      </c>
      <c r="C10">
        <v>2</v>
      </c>
      <c r="D10">
        <f>+B10*C10</f>
        <v>2.8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10"/>
  <sheetViews>
    <sheetView workbookViewId="0">
      <pane ySplit="1" topLeftCell="A2" activePane="bottomLeft" state="frozen"/>
      <selection activeCell="C1" sqref="C1"/>
      <selection pane="bottomLeft" activeCell="A71" sqref="A71"/>
    </sheetView>
  </sheetViews>
  <sheetFormatPr defaultRowHeight="10.5" customHeight="1" x14ac:dyDescent="0.2"/>
  <cols>
    <col min="1" max="1" width="6.7109375" style="54" customWidth="1"/>
    <col min="2" max="2" width="15.28515625" style="52" customWidth="1"/>
    <col min="3" max="3" width="9.140625" style="53"/>
    <col min="4" max="16384" width="9.140625" style="50"/>
  </cols>
  <sheetData>
    <row r="1" spans="1:40" s="46" customFormat="1" ht="15" customHeight="1" x14ac:dyDescent="0.25">
      <c r="A1" s="45" t="s">
        <v>53</v>
      </c>
      <c r="B1" s="45" t="s">
        <v>54</v>
      </c>
      <c r="C1" s="45" t="s">
        <v>543</v>
      </c>
    </row>
    <row r="2" spans="1:40" ht="10.5" customHeight="1" x14ac:dyDescent="0.2">
      <c r="A2" s="47" t="s">
        <v>0</v>
      </c>
      <c r="B2" s="48" t="s">
        <v>10</v>
      </c>
      <c r="C2" s="49">
        <f>+C3</f>
        <v>41.71</v>
      </c>
      <c r="E2" s="47" t="s">
        <v>19</v>
      </c>
      <c r="F2" s="48" t="s">
        <v>32</v>
      </c>
      <c r="G2" s="49">
        <f>SUM(G3:G11)</f>
        <v>172.32</v>
      </c>
    </row>
    <row r="3" spans="1:40" ht="10.5" customHeight="1" x14ac:dyDescent="0.2">
      <c r="A3" s="51"/>
      <c r="B3" s="52" t="s">
        <v>62</v>
      </c>
      <c r="C3" s="53">
        <v>41.71</v>
      </c>
      <c r="E3" s="51"/>
      <c r="F3" s="52" t="s">
        <v>108</v>
      </c>
      <c r="G3" s="53">
        <v>12.1</v>
      </c>
    </row>
    <row r="4" spans="1:40" ht="10.5" customHeight="1" x14ac:dyDescent="0.2">
      <c r="A4" s="47" t="s">
        <v>1</v>
      </c>
      <c r="B4" s="48" t="s">
        <v>11</v>
      </c>
      <c r="C4" s="49">
        <f>+C5</f>
        <v>22</v>
      </c>
      <c r="E4" s="51"/>
      <c r="F4" s="52" t="s">
        <v>109</v>
      </c>
      <c r="G4" s="53">
        <v>8.19</v>
      </c>
    </row>
    <row r="5" spans="1:40" ht="10.5" customHeight="1" x14ac:dyDescent="0.2">
      <c r="A5" s="51"/>
      <c r="B5" s="52" t="s">
        <v>63</v>
      </c>
      <c r="C5" s="53">
        <v>22</v>
      </c>
      <c r="E5" s="51"/>
      <c r="F5" s="52" t="s">
        <v>110</v>
      </c>
      <c r="G5" s="53">
        <v>44.25</v>
      </c>
    </row>
    <row r="6" spans="1:40" ht="10.5" customHeight="1" x14ac:dyDescent="0.2">
      <c r="A6" s="47" t="s">
        <v>2</v>
      </c>
      <c r="B6" s="48" t="s">
        <v>12</v>
      </c>
      <c r="C6" s="49">
        <f>+C7</f>
        <v>28</v>
      </c>
      <c r="E6" s="51"/>
      <c r="F6" s="52" t="s">
        <v>111</v>
      </c>
      <c r="G6" s="53">
        <v>3.9</v>
      </c>
    </row>
    <row r="7" spans="1:40" ht="10.5" customHeight="1" x14ac:dyDescent="0.2">
      <c r="A7" s="51"/>
      <c r="B7" s="52" t="s">
        <v>64</v>
      </c>
      <c r="C7" s="53">
        <v>28</v>
      </c>
      <c r="E7" s="51"/>
      <c r="F7" s="52" t="s">
        <v>112</v>
      </c>
      <c r="G7" s="53">
        <v>19.3</v>
      </c>
    </row>
    <row r="8" spans="1:40" ht="10.5" customHeight="1" x14ac:dyDescent="0.2">
      <c r="A8" s="47" t="s">
        <v>3</v>
      </c>
      <c r="B8" s="48" t="s">
        <v>13</v>
      </c>
      <c r="C8" s="49">
        <f>SUM(C9:C26)</f>
        <v>169.53</v>
      </c>
      <c r="E8" s="51"/>
      <c r="F8" s="52" t="s">
        <v>113</v>
      </c>
      <c r="G8" s="53">
        <v>20.170000000000002</v>
      </c>
    </row>
    <row r="9" spans="1:40" ht="10.5" customHeight="1" x14ac:dyDescent="0.2">
      <c r="A9" s="51"/>
      <c r="B9" s="52" t="s">
        <v>65</v>
      </c>
      <c r="C9" s="53">
        <v>3.55</v>
      </c>
      <c r="E9" s="51"/>
      <c r="F9" s="52" t="s">
        <v>114</v>
      </c>
      <c r="G9" s="53">
        <v>21.74</v>
      </c>
    </row>
    <row r="10" spans="1:40" ht="10.5" customHeight="1" x14ac:dyDescent="0.2">
      <c r="A10" s="51"/>
      <c r="B10" s="52" t="s">
        <v>66</v>
      </c>
      <c r="C10" s="53">
        <v>4.1900000000000004</v>
      </c>
      <c r="E10" s="51"/>
      <c r="F10" s="52" t="s">
        <v>115</v>
      </c>
      <c r="G10" s="53">
        <v>19.5</v>
      </c>
    </row>
    <row r="11" spans="1:40" ht="10.5" customHeight="1" x14ac:dyDescent="0.2">
      <c r="A11" s="51"/>
      <c r="B11" s="52" t="s">
        <v>67</v>
      </c>
      <c r="C11" s="53">
        <v>23.37</v>
      </c>
      <c r="E11" s="51"/>
      <c r="F11" s="52" t="s">
        <v>116</v>
      </c>
      <c r="G11" s="53">
        <v>23.17</v>
      </c>
    </row>
    <row r="12" spans="1:40" ht="10.5" customHeight="1" x14ac:dyDescent="0.2">
      <c r="A12" s="51"/>
      <c r="B12" s="52" t="s">
        <v>68</v>
      </c>
      <c r="C12" s="53">
        <v>1.78</v>
      </c>
      <c r="E12" s="47" t="s">
        <v>20</v>
      </c>
      <c r="F12" s="48" t="s">
        <v>391</v>
      </c>
      <c r="G12" s="49">
        <f>SUM(G13:G32)</f>
        <v>238.32999999999996</v>
      </c>
    </row>
    <row r="13" spans="1:40" ht="10.5" customHeight="1" x14ac:dyDescent="0.2">
      <c r="A13" s="51"/>
      <c r="B13" s="52" t="s">
        <v>69</v>
      </c>
      <c r="C13" s="53">
        <v>48.11</v>
      </c>
      <c r="E13" s="51"/>
      <c r="F13" s="52" t="s">
        <v>117</v>
      </c>
      <c r="G13" s="53">
        <v>14.9</v>
      </c>
    </row>
    <row r="14" spans="1:40" s="53" customFormat="1" ht="10.5" customHeight="1" x14ac:dyDescent="0.2">
      <c r="A14" s="51"/>
      <c r="B14" s="52" t="s">
        <v>70</v>
      </c>
      <c r="C14" s="53">
        <v>3.84</v>
      </c>
      <c r="D14" s="50"/>
      <c r="E14" s="51"/>
      <c r="F14" s="52" t="s">
        <v>118</v>
      </c>
      <c r="G14" s="53">
        <v>4.84</v>
      </c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</row>
    <row r="15" spans="1:40" s="53" customFormat="1" ht="10.5" customHeight="1" x14ac:dyDescent="0.2">
      <c r="A15" s="51"/>
      <c r="B15" s="52" t="s">
        <v>71</v>
      </c>
      <c r="C15" s="53">
        <v>5.82</v>
      </c>
      <c r="D15" s="50"/>
      <c r="E15" s="51"/>
      <c r="F15" s="52" t="s">
        <v>119</v>
      </c>
      <c r="G15" s="53">
        <v>14.28</v>
      </c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</row>
    <row r="16" spans="1:40" s="53" customFormat="1" ht="10.5" customHeight="1" x14ac:dyDescent="0.2">
      <c r="A16" s="51"/>
      <c r="B16" s="52" t="s">
        <v>72</v>
      </c>
      <c r="C16" s="53">
        <v>2.29</v>
      </c>
      <c r="D16" s="50"/>
      <c r="E16" s="51"/>
      <c r="F16" s="52" t="s">
        <v>120</v>
      </c>
      <c r="G16" s="53">
        <v>4.84</v>
      </c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</row>
    <row r="17" spans="1:40" s="53" customFormat="1" ht="10.5" customHeight="1" x14ac:dyDescent="0.2">
      <c r="A17" s="51"/>
      <c r="B17" s="52" t="s">
        <v>73</v>
      </c>
      <c r="C17" s="53">
        <v>16.82</v>
      </c>
      <c r="D17" s="50"/>
      <c r="E17" s="51"/>
      <c r="F17" s="52" t="s">
        <v>121</v>
      </c>
      <c r="G17" s="53">
        <v>14.31</v>
      </c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</row>
    <row r="18" spans="1:40" s="53" customFormat="1" ht="10.5" customHeight="1" x14ac:dyDescent="0.2">
      <c r="A18" s="51"/>
      <c r="B18" s="52" t="s">
        <v>74</v>
      </c>
      <c r="C18" s="53">
        <v>3.27</v>
      </c>
      <c r="D18" s="50"/>
      <c r="E18" s="51"/>
      <c r="F18" s="52" t="s">
        <v>122</v>
      </c>
      <c r="G18" s="53">
        <v>4.84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</row>
    <row r="19" spans="1:40" s="53" customFormat="1" ht="10.5" customHeight="1" x14ac:dyDescent="0.2">
      <c r="A19" s="51"/>
      <c r="B19" s="52" t="s">
        <v>75</v>
      </c>
      <c r="C19" s="53">
        <v>3.8</v>
      </c>
      <c r="D19" s="50"/>
      <c r="E19" s="51"/>
      <c r="F19" s="52" t="s">
        <v>123</v>
      </c>
      <c r="G19" s="53">
        <v>14.33</v>
      </c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</row>
    <row r="20" spans="1:40" s="53" customFormat="1" ht="10.5" customHeight="1" x14ac:dyDescent="0.2">
      <c r="A20" s="51"/>
      <c r="B20" s="52" t="s">
        <v>76</v>
      </c>
      <c r="C20" s="53">
        <v>11.32</v>
      </c>
      <c r="D20" s="50"/>
      <c r="E20" s="51"/>
      <c r="F20" s="52" t="s">
        <v>124</v>
      </c>
      <c r="G20" s="53">
        <v>4.84</v>
      </c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</row>
    <row r="21" spans="1:40" s="53" customFormat="1" ht="10.5" customHeight="1" x14ac:dyDescent="0.2">
      <c r="A21" s="51"/>
      <c r="B21" s="52" t="s">
        <v>77</v>
      </c>
      <c r="C21" s="53">
        <v>3.49</v>
      </c>
      <c r="D21" s="50"/>
      <c r="E21" s="51"/>
      <c r="F21" s="52" t="s">
        <v>125</v>
      </c>
      <c r="G21" s="53">
        <v>14.33</v>
      </c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</row>
    <row r="22" spans="1:40" s="53" customFormat="1" ht="10.5" customHeight="1" x14ac:dyDescent="0.2">
      <c r="A22" s="51"/>
      <c r="B22" s="52" t="s">
        <v>78</v>
      </c>
      <c r="C22" s="53">
        <v>1.72</v>
      </c>
      <c r="D22" s="50"/>
      <c r="E22" s="51"/>
      <c r="F22" s="52" t="s">
        <v>126</v>
      </c>
      <c r="G22" s="53">
        <v>4.84</v>
      </c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</row>
    <row r="23" spans="1:40" s="53" customFormat="1" ht="10.5" customHeight="1" x14ac:dyDescent="0.2">
      <c r="A23" s="51"/>
      <c r="B23" s="52" t="s">
        <v>79</v>
      </c>
      <c r="C23" s="53">
        <v>6.47</v>
      </c>
      <c r="D23" s="50"/>
      <c r="E23" s="51"/>
      <c r="F23" s="52" t="s">
        <v>128</v>
      </c>
      <c r="G23" s="53">
        <v>14.41</v>
      </c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</row>
    <row r="24" spans="1:40" s="53" customFormat="1" ht="10.5" customHeight="1" x14ac:dyDescent="0.2">
      <c r="A24" s="51"/>
      <c r="B24" s="52" t="s">
        <v>80</v>
      </c>
      <c r="C24" s="53">
        <v>3.68</v>
      </c>
      <c r="D24" s="50"/>
      <c r="E24" s="51"/>
      <c r="F24" s="52" t="s">
        <v>129</v>
      </c>
      <c r="G24" s="53">
        <v>4.84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</row>
    <row r="25" spans="1:40" s="53" customFormat="1" ht="10.5" customHeight="1" x14ac:dyDescent="0.2">
      <c r="A25" s="51"/>
      <c r="B25" s="52" t="s">
        <v>81</v>
      </c>
      <c r="C25" s="53">
        <v>5.42</v>
      </c>
      <c r="D25" s="50"/>
      <c r="E25" s="51"/>
      <c r="F25" s="52" t="s">
        <v>130</v>
      </c>
      <c r="G25" s="53">
        <v>11.83</v>
      </c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</row>
    <row r="26" spans="1:40" s="53" customFormat="1" ht="10.5" customHeight="1" x14ac:dyDescent="0.2">
      <c r="A26" s="51"/>
      <c r="B26" s="52" t="s">
        <v>83</v>
      </c>
      <c r="C26" s="53">
        <v>20.59</v>
      </c>
      <c r="D26" s="50"/>
      <c r="E26" s="51"/>
      <c r="F26" s="52" t="s">
        <v>131</v>
      </c>
      <c r="G26" s="53">
        <v>14.1</v>
      </c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</row>
    <row r="27" spans="1:40" s="53" customFormat="1" ht="10.5" customHeight="1" x14ac:dyDescent="0.2">
      <c r="A27" s="47" t="s">
        <v>4</v>
      </c>
      <c r="B27" s="48" t="s">
        <v>14</v>
      </c>
      <c r="C27" s="49">
        <f>+C28</f>
        <v>20.68</v>
      </c>
      <c r="D27" s="50"/>
      <c r="E27" s="51"/>
      <c r="F27" s="52" t="s">
        <v>132</v>
      </c>
      <c r="G27" s="53">
        <v>6.67</v>
      </c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</row>
    <row r="28" spans="1:40" s="53" customFormat="1" ht="10.5" customHeight="1" x14ac:dyDescent="0.2">
      <c r="A28" s="51"/>
      <c r="B28" s="52" t="s">
        <v>82</v>
      </c>
      <c r="C28" s="53">
        <v>20.68</v>
      </c>
      <c r="D28" s="50"/>
      <c r="E28" s="51"/>
      <c r="F28" s="52" t="s">
        <v>133</v>
      </c>
      <c r="G28" s="53">
        <v>15.7</v>
      </c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</row>
    <row r="29" spans="1:40" ht="10.5" customHeight="1" x14ac:dyDescent="0.2">
      <c r="A29" s="47" t="s">
        <v>5</v>
      </c>
      <c r="B29" s="48" t="s">
        <v>15</v>
      </c>
      <c r="C29" s="49">
        <f>SUM(C30:C32)</f>
        <v>49.63</v>
      </c>
      <c r="E29" s="51"/>
      <c r="F29" s="52" t="s">
        <v>134</v>
      </c>
      <c r="G29" s="53">
        <v>6.67</v>
      </c>
    </row>
    <row r="30" spans="1:40" ht="10.5" customHeight="1" x14ac:dyDescent="0.2">
      <c r="A30" s="51"/>
      <c r="B30" s="52" t="s">
        <v>84</v>
      </c>
      <c r="C30" s="53">
        <v>7.72</v>
      </c>
      <c r="E30" s="51"/>
      <c r="F30" s="52" t="s">
        <v>135</v>
      </c>
      <c r="G30" s="53">
        <v>14.35</v>
      </c>
    </row>
    <row r="31" spans="1:40" ht="10.5" customHeight="1" x14ac:dyDescent="0.2">
      <c r="A31" s="51"/>
      <c r="B31" s="52" t="s">
        <v>85</v>
      </c>
      <c r="C31" s="53">
        <v>26.1</v>
      </c>
      <c r="E31" s="51"/>
      <c r="F31" s="52" t="s">
        <v>377</v>
      </c>
      <c r="G31" s="53">
        <v>6.93</v>
      </c>
    </row>
    <row r="32" spans="1:40" ht="10.5" customHeight="1" x14ac:dyDescent="0.2">
      <c r="A32" s="51"/>
      <c r="B32" s="52" t="s">
        <v>127</v>
      </c>
      <c r="C32" s="53">
        <v>15.81</v>
      </c>
      <c r="E32" s="51"/>
      <c r="F32" s="52" t="s">
        <v>136</v>
      </c>
      <c r="G32" s="53">
        <v>46.48</v>
      </c>
    </row>
    <row r="33" spans="1:7" ht="10.5" customHeight="1" x14ac:dyDescent="0.2">
      <c r="A33" s="47" t="s">
        <v>6</v>
      </c>
      <c r="B33" s="48" t="s">
        <v>16</v>
      </c>
      <c r="C33" s="49">
        <f>+C34</f>
        <v>10.6</v>
      </c>
      <c r="E33" s="47" t="s">
        <v>21</v>
      </c>
      <c r="F33" s="48" t="s">
        <v>33</v>
      </c>
      <c r="G33" s="49">
        <f>SUM(G34:G39)</f>
        <v>86.99</v>
      </c>
    </row>
    <row r="34" spans="1:7" ht="10.5" customHeight="1" x14ac:dyDescent="0.2">
      <c r="A34" s="51"/>
      <c r="B34" s="52" t="s">
        <v>382</v>
      </c>
      <c r="C34" s="53">
        <v>10.6</v>
      </c>
      <c r="E34" s="51"/>
      <c r="F34" s="52" t="s">
        <v>137</v>
      </c>
      <c r="G34" s="53">
        <v>21.3</v>
      </c>
    </row>
    <row r="35" spans="1:7" ht="10.5" customHeight="1" x14ac:dyDescent="0.2">
      <c r="A35" s="47" t="s">
        <v>7</v>
      </c>
      <c r="B35" s="48" t="s">
        <v>17</v>
      </c>
      <c r="C35" s="49">
        <f>SUM(C36:C55)</f>
        <v>321.20000000000005</v>
      </c>
      <c r="E35" s="51"/>
      <c r="F35" s="52" t="s">
        <v>138</v>
      </c>
      <c r="G35" s="53">
        <v>25.09</v>
      </c>
    </row>
    <row r="36" spans="1:7" ht="10.5" customHeight="1" x14ac:dyDescent="0.2">
      <c r="A36" s="51"/>
      <c r="B36" s="52" t="s">
        <v>86</v>
      </c>
      <c r="C36" s="53">
        <v>113.21</v>
      </c>
      <c r="E36" s="51"/>
      <c r="F36" s="52" t="s">
        <v>139</v>
      </c>
      <c r="G36" s="53">
        <v>20.11</v>
      </c>
    </row>
    <row r="37" spans="1:7" ht="10.5" customHeight="1" x14ac:dyDescent="0.2">
      <c r="A37" s="51"/>
      <c r="B37" s="52" t="s">
        <v>87</v>
      </c>
      <c r="C37" s="53">
        <v>46.91</v>
      </c>
      <c r="E37" s="51"/>
      <c r="F37" s="52" t="s">
        <v>140</v>
      </c>
      <c r="G37" s="53">
        <v>17.53</v>
      </c>
    </row>
    <row r="38" spans="1:7" ht="10.5" customHeight="1" x14ac:dyDescent="0.2">
      <c r="A38" s="51"/>
      <c r="B38" s="52" t="s">
        <v>88</v>
      </c>
      <c r="C38" s="53">
        <v>21.59</v>
      </c>
      <c r="E38" s="51"/>
      <c r="F38" s="52" t="s">
        <v>141</v>
      </c>
      <c r="G38" s="53">
        <v>1.66</v>
      </c>
    </row>
    <row r="39" spans="1:7" ht="10.5" customHeight="1" x14ac:dyDescent="0.2">
      <c r="A39" s="51"/>
      <c r="B39" s="52" t="s">
        <v>89</v>
      </c>
      <c r="C39" s="53">
        <v>15.38</v>
      </c>
      <c r="E39" s="51"/>
      <c r="F39" s="52" t="s">
        <v>142</v>
      </c>
      <c r="G39" s="53">
        <v>1.3</v>
      </c>
    </row>
    <row r="40" spans="1:7" ht="10.5" customHeight="1" x14ac:dyDescent="0.2">
      <c r="A40" s="51"/>
      <c r="B40" s="52" t="s">
        <v>90</v>
      </c>
      <c r="C40" s="53">
        <v>5.68</v>
      </c>
      <c r="E40" s="47" t="s">
        <v>22</v>
      </c>
      <c r="F40" s="48" t="s">
        <v>34</v>
      </c>
      <c r="G40" s="49">
        <f>+G41</f>
        <v>24.08</v>
      </c>
    </row>
    <row r="41" spans="1:7" ht="10.5" customHeight="1" x14ac:dyDescent="0.2">
      <c r="A41" s="51"/>
      <c r="B41" s="52" t="s">
        <v>91</v>
      </c>
      <c r="C41" s="53">
        <v>15.63</v>
      </c>
      <c r="E41" s="51"/>
      <c r="F41" s="52" t="s">
        <v>143</v>
      </c>
      <c r="G41" s="53">
        <v>24.08</v>
      </c>
    </row>
    <row r="42" spans="1:7" ht="10.5" customHeight="1" x14ac:dyDescent="0.2">
      <c r="A42" s="51"/>
      <c r="B42" s="52" t="s">
        <v>92</v>
      </c>
      <c r="C42" s="53">
        <v>4.76</v>
      </c>
      <c r="E42" s="47" t="s">
        <v>23</v>
      </c>
      <c r="F42" s="48" t="s">
        <v>35</v>
      </c>
      <c r="G42" s="49">
        <f>+G43</f>
        <v>2.65</v>
      </c>
    </row>
    <row r="43" spans="1:7" ht="10.5" customHeight="1" x14ac:dyDescent="0.2">
      <c r="A43" s="51"/>
      <c r="B43" s="52" t="s">
        <v>93</v>
      </c>
      <c r="C43" s="53">
        <v>7.05</v>
      </c>
      <c r="E43" s="51"/>
      <c r="F43" s="52" t="s">
        <v>144</v>
      </c>
      <c r="G43" s="53">
        <v>2.65</v>
      </c>
    </row>
    <row r="44" spans="1:7" ht="10.5" customHeight="1" x14ac:dyDescent="0.2">
      <c r="A44" s="51"/>
      <c r="B44" s="52" t="s">
        <v>94</v>
      </c>
      <c r="C44" s="53">
        <v>6.84</v>
      </c>
      <c r="E44" s="47" t="s">
        <v>24</v>
      </c>
      <c r="F44" s="48" t="s">
        <v>391</v>
      </c>
      <c r="G44" s="49">
        <f>SUM(G45:G48)</f>
        <v>55.820000000000007</v>
      </c>
    </row>
    <row r="45" spans="1:7" ht="10.5" customHeight="1" x14ac:dyDescent="0.2">
      <c r="A45" s="51"/>
      <c r="B45" s="52" t="s">
        <v>95</v>
      </c>
      <c r="C45" s="53">
        <v>2.4900000000000002</v>
      </c>
      <c r="E45" s="51"/>
      <c r="F45" s="52" t="s">
        <v>147</v>
      </c>
      <c r="G45" s="53">
        <v>23.07</v>
      </c>
    </row>
    <row r="46" spans="1:7" ht="10.5" customHeight="1" x14ac:dyDescent="0.2">
      <c r="A46" s="51"/>
      <c r="B46" s="52" t="s">
        <v>96</v>
      </c>
      <c r="C46" s="53">
        <v>2.75</v>
      </c>
      <c r="E46" s="51"/>
      <c r="F46" s="52" t="s">
        <v>148</v>
      </c>
      <c r="G46" s="53">
        <v>4.84</v>
      </c>
    </row>
    <row r="47" spans="1:7" ht="10.5" customHeight="1" x14ac:dyDescent="0.2">
      <c r="A47" s="51"/>
      <c r="B47" s="52" t="s">
        <v>97</v>
      </c>
      <c r="C47" s="53">
        <v>1.57</v>
      </c>
      <c r="E47" s="51"/>
      <c r="F47" s="52" t="s">
        <v>149</v>
      </c>
      <c r="G47" s="53">
        <v>23.07</v>
      </c>
    </row>
    <row r="48" spans="1:7" ht="10.5" customHeight="1" x14ac:dyDescent="0.2">
      <c r="A48" s="51"/>
      <c r="B48" s="52" t="s">
        <v>98</v>
      </c>
      <c r="C48" s="53">
        <v>1.2</v>
      </c>
      <c r="E48" s="51"/>
      <c r="F48" s="52" t="s">
        <v>150</v>
      </c>
      <c r="G48" s="53">
        <v>4.84</v>
      </c>
    </row>
    <row r="49" spans="1:7" ht="10.5" customHeight="1" x14ac:dyDescent="0.2">
      <c r="A49" s="51"/>
      <c r="B49" s="52" t="s">
        <v>99</v>
      </c>
      <c r="C49" s="53">
        <v>3.65</v>
      </c>
      <c r="E49" s="47" t="s">
        <v>25</v>
      </c>
      <c r="F49" s="48" t="s">
        <v>391</v>
      </c>
      <c r="G49" s="49">
        <f>SUM(G50:G67)</f>
        <v>193.43</v>
      </c>
    </row>
    <row r="50" spans="1:7" ht="10.5" customHeight="1" x14ac:dyDescent="0.2">
      <c r="A50" s="51"/>
      <c r="B50" s="52" t="s">
        <v>100</v>
      </c>
      <c r="C50" s="53">
        <v>6.24</v>
      </c>
      <c r="E50" s="51"/>
      <c r="F50" s="52" t="s">
        <v>151</v>
      </c>
      <c r="G50" s="53">
        <v>13.44</v>
      </c>
    </row>
    <row r="51" spans="1:7" ht="10.5" customHeight="1" x14ac:dyDescent="0.2">
      <c r="A51" s="51"/>
      <c r="B51" s="52" t="s">
        <v>101</v>
      </c>
      <c r="C51" s="53">
        <v>7.1</v>
      </c>
      <c r="E51" s="51"/>
      <c r="F51" s="52" t="s">
        <v>152</v>
      </c>
      <c r="G51" s="53">
        <v>4.79</v>
      </c>
    </row>
    <row r="52" spans="1:7" ht="10.5" customHeight="1" x14ac:dyDescent="0.2">
      <c r="A52" s="51"/>
      <c r="B52" s="52" t="s">
        <v>102</v>
      </c>
      <c r="C52" s="53">
        <v>1.94</v>
      </c>
      <c r="E52" s="51"/>
      <c r="F52" s="52" t="s">
        <v>153</v>
      </c>
      <c r="G52" s="53">
        <v>13.44</v>
      </c>
    </row>
    <row r="53" spans="1:7" ht="10.5" customHeight="1" x14ac:dyDescent="0.2">
      <c r="A53" s="51"/>
      <c r="B53" s="52" t="s">
        <v>103</v>
      </c>
      <c r="C53" s="53">
        <v>11.22</v>
      </c>
      <c r="E53" s="51"/>
      <c r="F53" s="52" t="s">
        <v>154</v>
      </c>
      <c r="G53" s="53">
        <v>4.8099999999999996</v>
      </c>
    </row>
    <row r="54" spans="1:7" ht="10.5" customHeight="1" x14ac:dyDescent="0.2">
      <c r="A54" s="51"/>
      <c r="B54" s="52" t="s">
        <v>104</v>
      </c>
      <c r="C54" s="53">
        <v>6.68</v>
      </c>
      <c r="E54" s="51"/>
      <c r="F54" s="52" t="s">
        <v>155</v>
      </c>
      <c r="G54" s="53">
        <v>13.52</v>
      </c>
    </row>
    <row r="55" spans="1:7" ht="10.5" customHeight="1" x14ac:dyDescent="0.2">
      <c r="A55" s="51"/>
      <c r="B55" s="52" t="s">
        <v>105</v>
      </c>
      <c r="C55" s="53">
        <v>39.31</v>
      </c>
      <c r="E55" s="51"/>
      <c r="F55" s="52" t="s">
        <v>156</v>
      </c>
      <c r="G55" s="53">
        <v>4.8099999999999996</v>
      </c>
    </row>
    <row r="56" spans="1:7" ht="10.5" customHeight="1" x14ac:dyDescent="0.2">
      <c r="A56" s="47" t="s">
        <v>8</v>
      </c>
      <c r="B56" s="48" t="s">
        <v>18</v>
      </c>
      <c r="C56" s="49">
        <f>SUM(C57:C62)</f>
        <v>158.12</v>
      </c>
      <c r="E56" s="51"/>
      <c r="F56" s="52" t="s">
        <v>157</v>
      </c>
      <c r="G56" s="53">
        <v>13.71</v>
      </c>
    </row>
    <row r="57" spans="1:7" ht="10.5" customHeight="1" x14ac:dyDescent="0.2">
      <c r="A57" s="51"/>
      <c r="B57" s="52" t="s">
        <v>376</v>
      </c>
      <c r="C57" s="53">
        <v>26.84</v>
      </c>
      <c r="E57" s="51"/>
      <c r="F57" s="52" t="s">
        <v>158</v>
      </c>
      <c r="G57" s="53">
        <v>4.84</v>
      </c>
    </row>
    <row r="58" spans="1:7" ht="10.5" customHeight="1" x14ac:dyDescent="0.2">
      <c r="A58" s="51"/>
      <c r="B58" s="52" t="s">
        <v>106</v>
      </c>
      <c r="C58" s="53">
        <v>7.2</v>
      </c>
      <c r="E58" s="51"/>
      <c r="F58" s="52" t="s">
        <v>159</v>
      </c>
      <c r="G58" s="53">
        <v>13.5</v>
      </c>
    </row>
    <row r="59" spans="1:7" ht="10.5" customHeight="1" x14ac:dyDescent="0.2">
      <c r="A59" s="51"/>
      <c r="B59" s="52" t="s">
        <v>145</v>
      </c>
      <c r="C59" s="53">
        <v>6.96</v>
      </c>
      <c r="E59" s="51"/>
      <c r="F59" s="52" t="s">
        <v>160</v>
      </c>
      <c r="G59" s="53">
        <v>4.76</v>
      </c>
    </row>
    <row r="60" spans="1:7" ht="10.5" customHeight="1" x14ac:dyDescent="0.2">
      <c r="A60" s="51"/>
      <c r="B60" s="52" t="s">
        <v>146</v>
      </c>
      <c r="C60" s="53">
        <v>60.2</v>
      </c>
      <c r="E60" s="51"/>
      <c r="F60" s="52" t="s">
        <v>161</v>
      </c>
      <c r="G60" s="53">
        <v>9.86</v>
      </c>
    </row>
    <row r="61" spans="1:7" ht="10.5" customHeight="1" x14ac:dyDescent="0.2">
      <c r="A61" s="51"/>
      <c r="B61" s="52" t="s">
        <v>214</v>
      </c>
      <c r="C61" s="53">
        <v>7.2</v>
      </c>
      <c r="E61" s="51"/>
      <c r="F61" s="52" t="s">
        <v>162</v>
      </c>
      <c r="G61" s="53">
        <v>2.2999999999999998</v>
      </c>
    </row>
    <row r="62" spans="1:7" ht="10.5" customHeight="1" x14ac:dyDescent="0.2">
      <c r="A62" s="51"/>
      <c r="B62" s="52" t="s">
        <v>215</v>
      </c>
      <c r="C62" s="53">
        <v>49.72</v>
      </c>
      <c r="E62" s="51"/>
      <c r="F62" s="52" t="s">
        <v>163</v>
      </c>
      <c r="G62" s="53">
        <v>6.01</v>
      </c>
    </row>
    <row r="63" spans="1:7" ht="10.5" customHeight="1" x14ac:dyDescent="0.2">
      <c r="A63" s="47" t="s">
        <v>9</v>
      </c>
      <c r="B63" s="48" t="s">
        <v>407</v>
      </c>
      <c r="C63" s="49">
        <v>20.54</v>
      </c>
      <c r="E63" s="51"/>
      <c r="F63" s="52" t="s">
        <v>164</v>
      </c>
      <c r="G63" s="53">
        <v>5.46</v>
      </c>
    </row>
    <row r="64" spans="1:7" ht="10.5" customHeight="1" x14ac:dyDescent="0.2">
      <c r="A64" s="51"/>
      <c r="B64" s="52" t="s">
        <v>107</v>
      </c>
      <c r="C64" s="53">
        <v>20.54</v>
      </c>
      <c r="E64" s="51"/>
      <c r="F64" s="52" t="s">
        <v>165</v>
      </c>
      <c r="G64" s="53">
        <v>12.37</v>
      </c>
    </row>
    <row r="65" spans="1:7" ht="10.5" customHeight="1" x14ac:dyDescent="0.2">
      <c r="A65" s="50"/>
      <c r="B65" s="50"/>
      <c r="C65" s="50"/>
      <c r="E65" s="51"/>
      <c r="F65" s="52" t="s">
        <v>166</v>
      </c>
      <c r="G65" s="53">
        <v>21.34</v>
      </c>
    </row>
    <row r="66" spans="1:7" ht="10.5" customHeight="1" x14ac:dyDescent="0.2">
      <c r="A66" s="50"/>
      <c r="B66" s="50"/>
      <c r="C66" s="50"/>
      <c r="E66" s="51"/>
      <c r="F66" s="52" t="s">
        <v>167</v>
      </c>
      <c r="G66" s="53">
        <v>7.21</v>
      </c>
    </row>
    <row r="67" spans="1:7" ht="10.5" customHeight="1" x14ac:dyDescent="0.2">
      <c r="A67" s="50"/>
      <c r="B67" s="50"/>
      <c r="C67" s="50"/>
      <c r="E67" s="51"/>
      <c r="F67" s="52" t="s">
        <v>168</v>
      </c>
      <c r="G67" s="53">
        <v>37.26</v>
      </c>
    </row>
    <row r="68" spans="1:7" ht="10.5" customHeight="1" x14ac:dyDescent="0.2">
      <c r="A68" s="50"/>
      <c r="B68" s="50"/>
      <c r="C68" s="50"/>
    </row>
    <row r="69" spans="1:7" ht="10.5" customHeight="1" x14ac:dyDescent="0.2">
      <c r="A69" s="50"/>
      <c r="B69" s="50"/>
      <c r="C69" s="50"/>
    </row>
    <row r="70" spans="1:7" ht="10.5" customHeight="1" x14ac:dyDescent="0.2">
      <c r="A70" s="50"/>
      <c r="B70" s="50"/>
      <c r="C70" s="50"/>
    </row>
    <row r="71" spans="1:7" ht="10.5" customHeight="1" x14ac:dyDescent="0.2">
      <c r="A71" s="50"/>
      <c r="B71" s="50"/>
      <c r="C71" s="50"/>
    </row>
    <row r="72" spans="1:7" ht="10.5" customHeight="1" x14ac:dyDescent="0.2">
      <c r="A72" s="47" t="s">
        <v>26</v>
      </c>
      <c r="B72" s="48" t="s">
        <v>15</v>
      </c>
      <c r="C72" s="49">
        <f>SUM(C73:C75)</f>
        <v>50.85</v>
      </c>
    </row>
    <row r="73" spans="1:7" ht="10.5" customHeight="1" x14ac:dyDescent="0.2">
      <c r="A73" s="51"/>
      <c r="B73" s="52" t="s">
        <v>169</v>
      </c>
      <c r="C73" s="53">
        <v>7.72</v>
      </c>
    </row>
    <row r="74" spans="1:7" ht="10.5" customHeight="1" x14ac:dyDescent="0.2">
      <c r="A74" s="51"/>
      <c r="B74" s="52" t="s">
        <v>171</v>
      </c>
      <c r="C74" s="53">
        <v>28.02</v>
      </c>
    </row>
    <row r="75" spans="1:7" ht="10.5" customHeight="1" x14ac:dyDescent="0.2">
      <c r="A75" s="51"/>
      <c r="B75" s="52" t="s">
        <v>251</v>
      </c>
      <c r="C75" s="53">
        <v>15.11</v>
      </c>
    </row>
    <row r="76" spans="1:7" ht="10.5" customHeight="1" x14ac:dyDescent="0.2">
      <c r="A76" s="47" t="s">
        <v>27</v>
      </c>
      <c r="B76" s="48" t="s">
        <v>16</v>
      </c>
      <c r="C76" s="49">
        <f>+C77</f>
        <v>10.6</v>
      </c>
    </row>
    <row r="77" spans="1:7" ht="10.5" customHeight="1" x14ac:dyDescent="0.2">
      <c r="A77" s="51"/>
      <c r="B77" s="52" t="s">
        <v>383</v>
      </c>
      <c r="C77" s="53">
        <v>10.6</v>
      </c>
    </row>
    <row r="78" spans="1:7" ht="10.5" customHeight="1" x14ac:dyDescent="0.2">
      <c r="A78" s="47" t="s">
        <v>28</v>
      </c>
      <c r="B78" s="48" t="s">
        <v>391</v>
      </c>
      <c r="C78" s="49">
        <f>SUM(C79:C99)</f>
        <v>192.98000000000002</v>
      </c>
    </row>
    <row r="79" spans="1:7" ht="10.5" customHeight="1" x14ac:dyDescent="0.2">
      <c r="A79" s="51"/>
      <c r="B79" s="52" t="s">
        <v>172</v>
      </c>
      <c r="C79" s="53">
        <v>13.54</v>
      </c>
    </row>
    <row r="80" spans="1:7" ht="10.5" customHeight="1" x14ac:dyDescent="0.2">
      <c r="A80" s="51"/>
      <c r="B80" s="52" t="s">
        <v>173</v>
      </c>
      <c r="C80" s="53">
        <v>4.76</v>
      </c>
    </row>
    <row r="81" spans="1:40" ht="10.5" customHeight="1" x14ac:dyDescent="0.2">
      <c r="A81" s="51"/>
      <c r="B81" s="52" t="s">
        <v>174</v>
      </c>
      <c r="C81" s="53">
        <v>13.51</v>
      </c>
    </row>
    <row r="82" spans="1:40" ht="10.5" customHeight="1" x14ac:dyDescent="0.2">
      <c r="A82" s="51"/>
      <c r="B82" s="52" t="s">
        <v>175</v>
      </c>
      <c r="C82" s="53">
        <v>4.78</v>
      </c>
    </row>
    <row r="83" spans="1:40" s="53" customFormat="1" ht="10.5" customHeight="1" x14ac:dyDescent="0.2">
      <c r="A83" s="51"/>
      <c r="B83" s="52" t="s">
        <v>176</v>
      </c>
      <c r="C83" s="53">
        <v>13.52</v>
      </c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</row>
    <row r="84" spans="1:40" s="53" customFormat="1" ht="10.5" customHeight="1" x14ac:dyDescent="0.2">
      <c r="A84" s="51"/>
      <c r="B84" s="52" t="s">
        <v>177</v>
      </c>
      <c r="C84" s="53">
        <v>4.83</v>
      </c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</row>
    <row r="85" spans="1:40" s="53" customFormat="1" ht="10.5" customHeight="1" x14ac:dyDescent="0.2">
      <c r="A85" s="51"/>
      <c r="B85" s="52" t="s">
        <v>178</v>
      </c>
      <c r="C85" s="53">
        <v>13.52</v>
      </c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</row>
    <row r="86" spans="1:40" s="53" customFormat="1" ht="10.5" customHeight="1" x14ac:dyDescent="0.2">
      <c r="A86" s="51"/>
      <c r="B86" s="52" t="s">
        <v>179</v>
      </c>
      <c r="C86" s="53">
        <v>4.82</v>
      </c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</row>
    <row r="87" spans="1:40" s="53" customFormat="1" ht="10.5" customHeight="1" x14ac:dyDescent="0.2">
      <c r="A87" s="51"/>
      <c r="B87" s="52" t="s">
        <v>180</v>
      </c>
      <c r="C87" s="53">
        <v>13.52</v>
      </c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</row>
    <row r="88" spans="1:40" s="53" customFormat="1" ht="10.5" customHeight="1" x14ac:dyDescent="0.2">
      <c r="A88" s="51"/>
      <c r="B88" s="52" t="s">
        <v>181</v>
      </c>
      <c r="C88" s="53">
        <v>4.79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</row>
    <row r="89" spans="1:40" s="53" customFormat="1" ht="10.5" customHeight="1" x14ac:dyDescent="0.2">
      <c r="A89" s="51"/>
      <c r="B89" s="52" t="s">
        <v>182</v>
      </c>
      <c r="C89" s="53">
        <v>3.82</v>
      </c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</row>
    <row r="90" spans="1:40" s="53" customFormat="1" ht="10.5" customHeight="1" x14ac:dyDescent="0.2">
      <c r="A90" s="51"/>
      <c r="B90" s="52" t="s">
        <v>183</v>
      </c>
      <c r="C90" s="53">
        <v>2.59</v>
      </c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</row>
    <row r="91" spans="1:40" s="53" customFormat="1" ht="10.5" customHeight="1" x14ac:dyDescent="0.2">
      <c r="A91" s="51"/>
      <c r="B91" s="52" t="s">
        <v>184</v>
      </c>
      <c r="C91" s="53">
        <v>15.28</v>
      </c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</row>
    <row r="92" spans="1:40" s="53" customFormat="1" ht="10.5" customHeight="1" x14ac:dyDescent="0.2">
      <c r="A92" s="51"/>
      <c r="B92" s="52" t="s">
        <v>185</v>
      </c>
      <c r="C92" s="53">
        <v>6.98</v>
      </c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</row>
    <row r="93" spans="1:40" s="53" customFormat="1" ht="10.5" customHeight="1" x14ac:dyDescent="0.2">
      <c r="A93" s="51"/>
      <c r="B93" s="52" t="s">
        <v>186</v>
      </c>
      <c r="C93" s="53">
        <v>14.21</v>
      </c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</row>
    <row r="94" spans="1:40" s="53" customFormat="1" ht="10.5" customHeight="1" x14ac:dyDescent="0.2">
      <c r="A94" s="51"/>
      <c r="B94" s="52" t="s">
        <v>187</v>
      </c>
      <c r="C94" s="53">
        <v>1.61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</row>
    <row r="95" spans="1:40" s="53" customFormat="1" ht="10.5" customHeight="1" x14ac:dyDescent="0.2">
      <c r="A95" s="51"/>
      <c r="B95" s="52" t="s">
        <v>188</v>
      </c>
      <c r="C95" s="53">
        <v>1.52</v>
      </c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</row>
    <row r="96" spans="1:40" s="53" customFormat="1" ht="10.5" customHeight="1" x14ac:dyDescent="0.2">
      <c r="A96" s="51"/>
      <c r="B96" s="52" t="s">
        <v>189</v>
      </c>
      <c r="C96" s="53">
        <v>2.93</v>
      </c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</row>
    <row r="97" spans="1:40" s="53" customFormat="1" ht="10.5" customHeight="1" x14ac:dyDescent="0.2">
      <c r="A97" s="51"/>
      <c r="B97" s="52" t="s">
        <v>190</v>
      </c>
      <c r="C97" s="53">
        <v>2.65</v>
      </c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</row>
    <row r="98" spans="1:40" s="53" customFormat="1" ht="10.5" customHeight="1" x14ac:dyDescent="0.2">
      <c r="A98" s="51"/>
      <c r="B98" s="52" t="s">
        <v>191</v>
      </c>
      <c r="C98" s="53">
        <v>12.5</v>
      </c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</row>
    <row r="99" spans="1:40" ht="10.5" customHeight="1" x14ac:dyDescent="0.2">
      <c r="A99" s="51"/>
      <c r="B99" s="52" t="s">
        <v>170</v>
      </c>
      <c r="C99" s="53">
        <v>37.299999999999997</v>
      </c>
    </row>
    <row r="100" spans="1:40" ht="10.5" customHeight="1" x14ac:dyDescent="0.2">
      <c r="A100" s="47" t="s">
        <v>29</v>
      </c>
      <c r="B100" s="48" t="s">
        <v>36</v>
      </c>
      <c r="C100" s="49">
        <f>SUM(C101:C108)</f>
        <v>110.52999999999999</v>
      </c>
    </row>
    <row r="101" spans="1:40" ht="10.5" customHeight="1" x14ac:dyDescent="0.2">
      <c r="A101" s="51"/>
      <c r="B101" s="52" t="s">
        <v>192</v>
      </c>
      <c r="C101" s="53">
        <v>13.09</v>
      </c>
    </row>
    <row r="102" spans="1:40" ht="10.5" customHeight="1" x14ac:dyDescent="0.2">
      <c r="A102" s="51"/>
      <c r="B102" s="52" t="s">
        <v>193</v>
      </c>
      <c r="C102" s="53">
        <v>21.23</v>
      </c>
    </row>
    <row r="103" spans="1:40" ht="10.5" customHeight="1" x14ac:dyDescent="0.2">
      <c r="A103" s="51"/>
      <c r="B103" s="52" t="s">
        <v>194</v>
      </c>
      <c r="C103" s="53">
        <v>21.31</v>
      </c>
    </row>
    <row r="104" spans="1:40" ht="10.5" customHeight="1" x14ac:dyDescent="0.2">
      <c r="A104" s="51"/>
      <c r="B104" s="52" t="s">
        <v>195</v>
      </c>
      <c r="C104" s="53">
        <v>1.77</v>
      </c>
    </row>
    <row r="105" spans="1:40" ht="10.5" customHeight="1" x14ac:dyDescent="0.2">
      <c r="A105" s="51"/>
      <c r="B105" s="52" t="s">
        <v>196</v>
      </c>
      <c r="C105" s="53">
        <v>23.46</v>
      </c>
    </row>
    <row r="106" spans="1:40" ht="10.5" customHeight="1" x14ac:dyDescent="0.2">
      <c r="A106" s="51"/>
      <c r="B106" s="52" t="s">
        <v>197</v>
      </c>
      <c r="C106" s="53">
        <v>9.02</v>
      </c>
    </row>
    <row r="107" spans="1:40" ht="10.5" customHeight="1" x14ac:dyDescent="0.2">
      <c r="A107" s="51"/>
      <c r="B107" s="52" t="s">
        <v>198</v>
      </c>
      <c r="C107" s="53">
        <v>9.0399999999999991</v>
      </c>
    </row>
    <row r="108" spans="1:40" ht="10.5" customHeight="1" x14ac:dyDescent="0.2">
      <c r="A108" s="51"/>
      <c r="B108" s="52" t="s">
        <v>199</v>
      </c>
      <c r="C108" s="53">
        <v>11.61</v>
      </c>
    </row>
    <row r="109" spans="1:40" ht="10.5" customHeight="1" x14ac:dyDescent="0.2">
      <c r="A109" s="47" t="s">
        <v>30</v>
      </c>
      <c r="B109" s="48" t="s">
        <v>37</v>
      </c>
      <c r="C109" s="49">
        <f>+C110</f>
        <v>23.79</v>
      </c>
    </row>
    <row r="110" spans="1:40" ht="10.5" customHeight="1" x14ac:dyDescent="0.2">
      <c r="A110" s="51"/>
      <c r="B110" s="52" t="s">
        <v>200</v>
      </c>
      <c r="C110" s="53">
        <v>23.79</v>
      </c>
    </row>
    <row r="111" spans="1:40" ht="10.5" customHeight="1" x14ac:dyDescent="0.2">
      <c r="A111" s="47" t="s">
        <v>31</v>
      </c>
      <c r="B111" s="48" t="s">
        <v>15</v>
      </c>
      <c r="C111" s="49">
        <f>SUM(C112:C117)</f>
        <v>158.75</v>
      </c>
    </row>
    <row r="112" spans="1:40" ht="10.5" customHeight="1" x14ac:dyDescent="0.2">
      <c r="A112" s="51"/>
      <c r="B112" s="52" t="s">
        <v>201</v>
      </c>
      <c r="C112" s="53">
        <v>33.380000000000003</v>
      </c>
    </row>
    <row r="113" spans="1:40" ht="10.5" customHeight="1" x14ac:dyDescent="0.2">
      <c r="A113" s="51"/>
      <c r="B113" s="52" t="s">
        <v>202</v>
      </c>
      <c r="C113" s="53">
        <v>7.2</v>
      </c>
    </row>
    <row r="114" spans="1:40" ht="10.5" customHeight="1" x14ac:dyDescent="0.2">
      <c r="A114" s="51"/>
      <c r="B114" s="52" t="s">
        <v>378</v>
      </c>
      <c r="C114" s="53">
        <v>58.48</v>
      </c>
    </row>
    <row r="115" spans="1:40" ht="10.5" customHeight="1" x14ac:dyDescent="0.2">
      <c r="A115" s="51"/>
      <c r="B115" s="52" t="s">
        <v>262</v>
      </c>
      <c r="C115" s="53">
        <v>7.2</v>
      </c>
    </row>
    <row r="116" spans="1:40" ht="10.5" customHeight="1" x14ac:dyDescent="0.2">
      <c r="A116" s="51"/>
      <c r="B116" s="52" t="s">
        <v>321</v>
      </c>
      <c r="C116" s="53">
        <v>45.29</v>
      </c>
    </row>
    <row r="117" spans="1:40" ht="10.5" customHeight="1" x14ac:dyDescent="0.2">
      <c r="A117" s="51"/>
      <c r="B117" s="52" t="s">
        <v>324</v>
      </c>
      <c r="C117" s="53">
        <v>7.2</v>
      </c>
    </row>
    <row r="118" spans="1:40" ht="10.5" customHeight="1" x14ac:dyDescent="0.2">
      <c r="A118" s="47" t="s">
        <v>38</v>
      </c>
      <c r="B118" s="48" t="s">
        <v>391</v>
      </c>
      <c r="C118" s="49">
        <f>SUM(C119:C121)</f>
        <v>57.28</v>
      </c>
    </row>
    <row r="119" spans="1:40" ht="10.5" customHeight="1" x14ac:dyDescent="0.2">
      <c r="A119" s="51"/>
      <c r="B119" s="52" t="s">
        <v>203</v>
      </c>
      <c r="C119" s="53">
        <v>19.23</v>
      </c>
    </row>
    <row r="120" spans="1:40" ht="10.5" customHeight="1" x14ac:dyDescent="0.2">
      <c r="A120" s="51"/>
      <c r="B120" s="52" t="s">
        <v>204</v>
      </c>
      <c r="C120" s="53">
        <v>29.81</v>
      </c>
    </row>
    <row r="121" spans="1:40" ht="10.5" customHeight="1" x14ac:dyDescent="0.2">
      <c r="A121" s="51"/>
      <c r="B121" s="52" t="s">
        <v>205</v>
      </c>
      <c r="C121" s="53">
        <v>8.24</v>
      </c>
    </row>
    <row r="122" spans="1:40" ht="10.5" customHeight="1" x14ac:dyDescent="0.2">
      <c r="A122" s="47" t="s">
        <v>39</v>
      </c>
      <c r="B122" s="48" t="s">
        <v>391</v>
      </c>
      <c r="C122" s="49">
        <f>SUM(C123:C165)</f>
        <v>504.3900000000001</v>
      </c>
    </row>
    <row r="123" spans="1:40" ht="10.5" customHeight="1" x14ac:dyDescent="0.2">
      <c r="A123" s="51"/>
      <c r="B123" s="52" t="s">
        <v>206</v>
      </c>
      <c r="C123" s="53">
        <v>1.54</v>
      </c>
    </row>
    <row r="124" spans="1:40" ht="10.5" customHeight="1" x14ac:dyDescent="0.2">
      <c r="A124" s="51"/>
      <c r="B124" s="52" t="s">
        <v>207</v>
      </c>
      <c r="C124" s="53">
        <v>1.2</v>
      </c>
    </row>
    <row r="125" spans="1:40" ht="10.5" customHeight="1" x14ac:dyDescent="0.2">
      <c r="A125" s="51"/>
      <c r="B125" s="52" t="s">
        <v>208</v>
      </c>
      <c r="C125" s="53">
        <v>11.45</v>
      </c>
    </row>
    <row r="126" spans="1:40" s="53" customFormat="1" ht="10.5" customHeight="1" x14ac:dyDescent="0.2">
      <c r="A126" s="51"/>
      <c r="B126" s="52" t="s">
        <v>209</v>
      </c>
      <c r="C126" s="53">
        <v>7.15</v>
      </c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</row>
    <row r="127" spans="1:40" s="53" customFormat="1" ht="10.5" customHeight="1" x14ac:dyDescent="0.2">
      <c r="A127" s="51"/>
      <c r="B127" s="52" t="s">
        <v>210</v>
      </c>
      <c r="C127" s="53">
        <v>6.7</v>
      </c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</row>
    <row r="128" spans="1:40" s="53" customFormat="1" ht="10.5" customHeight="1" x14ac:dyDescent="0.2">
      <c r="A128" s="51"/>
      <c r="B128" s="52" t="s">
        <v>211</v>
      </c>
      <c r="C128" s="53">
        <v>19.61</v>
      </c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</row>
    <row r="129" spans="1:40" s="53" customFormat="1" ht="10.5" customHeight="1" x14ac:dyDescent="0.2">
      <c r="A129" s="51"/>
      <c r="B129" s="52" t="s">
        <v>212</v>
      </c>
      <c r="C129" s="53">
        <v>25.68</v>
      </c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</row>
    <row r="130" spans="1:40" s="53" customFormat="1" ht="10.5" customHeight="1" x14ac:dyDescent="0.2">
      <c r="A130" s="51"/>
      <c r="B130" s="52" t="s">
        <v>213</v>
      </c>
      <c r="C130" s="53">
        <v>11.43</v>
      </c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</row>
    <row r="131" spans="1:40" s="53" customFormat="1" ht="10.5" customHeight="1" x14ac:dyDescent="0.2">
      <c r="A131" s="51"/>
      <c r="B131" s="52" t="s">
        <v>216</v>
      </c>
      <c r="C131" s="53">
        <v>13.38</v>
      </c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</row>
    <row r="132" spans="1:40" s="53" customFormat="1" ht="10.5" customHeight="1" x14ac:dyDescent="0.2">
      <c r="A132" s="51"/>
      <c r="B132" s="52" t="s">
        <v>217</v>
      </c>
      <c r="C132" s="53">
        <v>4.84</v>
      </c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</row>
    <row r="133" spans="1:40" s="53" customFormat="1" ht="10.5" customHeight="1" x14ac:dyDescent="0.2">
      <c r="A133" s="51"/>
      <c r="B133" s="52" t="s">
        <v>218</v>
      </c>
      <c r="C133" s="53">
        <v>13.46</v>
      </c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</row>
    <row r="134" spans="1:40" s="53" customFormat="1" ht="10.5" customHeight="1" x14ac:dyDescent="0.2">
      <c r="A134" s="51"/>
      <c r="B134" s="52" t="s">
        <v>219</v>
      </c>
      <c r="C134" s="53">
        <v>8.84</v>
      </c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</row>
    <row r="135" spans="1:40" s="53" customFormat="1" ht="10.5" customHeight="1" x14ac:dyDescent="0.2">
      <c r="A135" s="51"/>
      <c r="B135" s="52" t="s">
        <v>220</v>
      </c>
      <c r="C135" s="53">
        <v>13.46</v>
      </c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</row>
    <row r="136" spans="1:40" s="53" customFormat="1" ht="10.5" customHeight="1" x14ac:dyDescent="0.2">
      <c r="A136" s="51"/>
      <c r="B136" s="52" t="s">
        <v>221</v>
      </c>
      <c r="C136" s="53">
        <v>4.84</v>
      </c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</row>
    <row r="137" spans="1:40" s="53" customFormat="1" ht="10.5" customHeight="1" x14ac:dyDescent="0.2">
      <c r="A137" s="51"/>
      <c r="B137" s="52" t="s">
        <v>222</v>
      </c>
      <c r="C137" s="53">
        <v>13.46</v>
      </c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</row>
    <row r="138" spans="1:40" s="53" customFormat="1" ht="10.5" customHeight="1" x14ac:dyDescent="0.2">
      <c r="A138" s="51"/>
      <c r="B138" s="52" t="s">
        <v>223</v>
      </c>
      <c r="C138" s="53">
        <v>4.84</v>
      </c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</row>
    <row r="139" spans="1:40" s="53" customFormat="1" ht="10.5" customHeight="1" x14ac:dyDescent="0.2">
      <c r="A139" s="51"/>
      <c r="B139" s="52" t="s">
        <v>224</v>
      </c>
      <c r="C139" s="53">
        <v>13.59</v>
      </c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</row>
    <row r="140" spans="1:40" s="53" customFormat="1" ht="10.5" customHeight="1" x14ac:dyDescent="0.2">
      <c r="A140" s="51"/>
      <c r="B140" s="52" t="s">
        <v>225</v>
      </c>
      <c r="C140" s="53">
        <v>4.84</v>
      </c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</row>
    <row r="141" spans="1:40" s="53" customFormat="1" ht="10.5" customHeight="1" x14ac:dyDescent="0.2">
      <c r="A141" s="51"/>
      <c r="B141" s="52" t="s">
        <v>226</v>
      </c>
      <c r="C141" s="53">
        <v>13.59</v>
      </c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</row>
    <row r="142" spans="1:40" s="53" customFormat="1" ht="10.5" customHeight="1" x14ac:dyDescent="0.2">
      <c r="A142" s="51"/>
      <c r="B142" s="52" t="s">
        <v>227</v>
      </c>
      <c r="C142" s="53">
        <v>4.84</v>
      </c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</row>
    <row r="143" spans="1:40" s="53" customFormat="1" ht="10.5" customHeight="1" x14ac:dyDescent="0.2">
      <c r="A143" s="51"/>
      <c r="B143" s="52" t="s">
        <v>228</v>
      </c>
      <c r="C143" s="53">
        <v>13.46</v>
      </c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</row>
    <row r="144" spans="1:40" s="53" customFormat="1" ht="10.5" customHeight="1" x14ac:dyDescent="0.2">
      <c r="A144" s="51"/>
      <c r="B144" s="52" t="s">
        <v>229</v>
      </c>
      <c r="C144" s="53">
        <v>4.84</v>
      </c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</row>
    <row r="145" spans="1:40" s="53" customFormat="1" ht="10.5" customHeight="1" x14ac:dyDescent="0.2">
      <c r="A145" s="51"/>
      <c r="B145" s="52" t="s">
        <v>230</v>
      </c>
      <c r="C145" s="53">
        <v>13.46</v>
      </c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</row>
    <row r="146" spans="1:40" s="53" customFormat="1" ht="10.5" customHeight="1" x14ac:dyDescent="0.2">
      <c r="A146" s="51"/>
      <c r="B146" s="52" t="s">
        <v>231</v>
      </c>
      <c r="C146" s="53">
        <v>4.84</v>
      </c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</row>
    <row r="147" spans="1:40" s="53" customFormat="1" ht="10.5" customHeight="1" x14ac:dyDescent="0.2">
      <c r="A147" s="51"/>
      <c r="B147" s="52" t="s">
        <v>232</v>
      </c>
      <c r="C147" s="53">
        <v>13.46</v>
      </c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</row>
    <row r="148" spans="1:40" s="53" customFormat="1" ht="10.5" customHeight="1" x14ac:dyDescent="0.2">
      <c r="A148" s="51"/>
      <c r="B148" s="52" t="s">
        <v>233</v>
      </c>
      <c r="C148" s="53">
        <v>4.84</v>
      </c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</row>
    <row r="149" spans="1:40" s="53" customFormat="1" ht="10.5" customHeight="1" x14ac:dyDescent="0.2">
      <c r="A149" s="51"/>
      <c r="B149" s="52" t="s">
        <v>234</v>
      </c>
      <c r="C149" s="53">
        <v>13.36</v>
      </c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</row>
    <row r="150" spans="1:40" s="53" customFormat="1" ht="10.5" customHeight="1" x14ac:dyDescent="0.2">
      <c r="A150" s="51"/>
      <c r="B150" s="52" t="s">
        <v>235</v>
      </c>
      <c r="C150" s="53">
        <v>4.84</v>
      </c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</row>
    <row r="151" spans="1:40" s="53" customFormat="1" ht="10.5" customHeight="1" x14ac:dyDescent="0.2">
      <c r="A151" s="51"/>
      <c r="B151" s="52" t="s">
        <v>236</v>
      </c>
      <c r="C151" s="53">
        <v>6.2</v>
      </c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</row>
    <row r="152" spans="1:40" s="53" customFormat="1" ht="10.5" customHeight="1" x14ac:dyDescent="0.2">
      <c r="A152" s="51"/>
      <c r="B152" s="52" t="s">
        <v>237</v>
      </c>
      <c r="C152" s="53">
        <v>14.27</v>
      </c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</row>
    <row r="153" spans="1:40" s="53" customFormat="1" ht="10.5" customHeight="1" x14ac:dyDescent="0.2">
      <c r="A153" s="51"/>
      <c r="B153" s="52" t="s">
        <v>238</v>
      </c>
      <c r="C153" s="53">
        <v>6.76</v>
      </c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</row>
    <row r="154" spans="1:40" s="53" customFormat="1" ht="10.5" customHeight="1" x14ac:dyDescent="0.2">
      <c r="A154" s="51"/>
      <c r="B154" s="52" t="s">
        <v>239</v>
      </c>
      <c r="C154" s="53">
        <v>18.68</v>
      </c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</row>
    <row r="155" spans="1:40" s="53" customFormat="1" ht="10.5" customHeight="1" x14ac:dyDescent="0.2">
      <c r="A155" s="51"/>
      <c r="B155" s="52" t="s">
        <v>240</v>
      </c>
      <c r="C155" s="53">
        <v>4.84</v>
      </c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</row>
    <row r="156" spans="1:40" s="53" customFormat="1" ht="10.5" customHeight="1" x14ac:dyDescent="0.2">
      <c r="A156" s="51"/>
      <c r="B156" s="52" t="s">
        <v>241</v>
      </c>
      <c r="C156" s="53">
        <v>11.43</v>
      </c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</row>
    <row r="157" spans="1:40" s="53" customFormat="1" ht="10.5" customHeight="1" x14ac:dyDescent="0.2">
      <c r="A157" s="51"/>
      <c r="B157" s="52" t="s">
        <v>242</v>
      </c>
      <c r="C157" s="53">
        <v>17.84</v>
      </c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</row>
    <row r="158" spans="1:40" ht="10.5" customHeight="1" x14ac:dyDescent="0.2">
      <c r="A158" s="51"/>
      <c r="B158" s="52" t="s">
        <v>243</v>
      </c>
      <c r="C158" s="53">
        <v>1.55</v>
      </c>
    </row>
    <row r="159" spans="1:40" ht="10.5" customHeight="1" x14ac:dyDescent="0.2">
      <c r="A159" s="51"/>
      <c r="B159" s="52" t="s">
        <v>244</v>
      </c>
      <c r="C159" s="53">
        <v>1.66</v>
      </c>
    </row>
    <row r="160" spans="1:40" ht="10.5" customHeight="1" x14ac:dyDescent="0.2">
      <c r="A160" s="51"/>
      <c r="B160" s="52" t="s">
        <v>245</v>
      </c>
      <c r="C160" s="53">
        <v>5.24</v>
      </c>
    </row>
    <row r="161" spans="1:3" ht="10.5" customHeight="1" x14ac:dyDescent="0.2">
      <c r="A161" s="51"/>
      <c r="B161" s="52" t="s">
        <v>246</v>
      </c>
      <c r="C161" s="53">
        <v>16.690000000000001</v>
      </c>
    </row>
    <row r="162" spans="1:3" ht="10.5" customHeight="1" x14ac:dyDescent="0.2">
      <c r="A162" s="51"/>
      <c r="B162" s="52" t="s">
        <v>247</v>
      </c>
      <c r="C162" s="53">
        <v>6.91</v>
      </c>
    </row>
    <row r="163" spans="1:3" ht="10.5" customHeight="1" x14ac:dyDescent="0.2">
      <c r="A163" s="51"/>
      <c r="B163" s="52" t="s">
        <v>248</v>
      </c>
      <c r="C163" s="53">
        <v>20.67</v>
      </c>
    </row>
    <row r="164" spans="1:3" ht="10.5" customHeight="1" x14ac:dyDescent="0.2">
      <c r="A164" s="51"/>
      <c r="B164" s="52" t="s">
        <v>249</v>
      </c>
      <c r="C164" s="53">
        <v>6.97</v>
      </c>
    </row>
    <row r="165" spans="1:3" ht="10.5" customHeight="1" x14ac:dyDescent="0.2">
      <c r="A165" s="51"/>
      <c r="B165" s="52" t="s">
        <v>250</v>
      </c>
      <c r="C165" s="53">
        <v>92.84</v>
      </c>
    </row>
    <row r="166" spans="1:3" ht="10.5" customHeight="1" x14ac:dyDescent="0.2">
      <c r="A166" s="47" t="s">
        <v>40</v>
      </c>
      <c r="B166" s="48" t="s">
        <v>47</v>
      </c>
      <c r="C166" s="49">
        <f>SUM(C167:C174)</f>
        <v>111.82</v>
      </c>
    </row>
    <row r="167" spans="1:3" ht="10.5" customHeight="1" x14ac:dyDescent="0.2">
      <c r="A167" s="51"/>
      <c r="B167" s="52" t="s">
        <v>252</v>
      </c>
      <c r="C167" s="53">
        <v>21.8</v>
      </c>
    </row>
    <row r="168" spans="1:3" ht="10.5" customHeight="1" x14ac:dyDescent="0.2">
      <c r="A168" s="51"/>
      <c r="B168" s="52" t="s">
        <v>253</v>
      </c>
      <c r="C168" s="53">
        <v>35.369999999999997</v>
      </c>
    </row>
    <row r="169" spans="1:3" ht="10.5" customHeight="1" x14ac:dyDescent="0.2">
      <c r="A169" s="51"/>
      <c r="B169" s="52" t="s">
        <v>254</v>
      </c>
      <c r="C169" s="53">
        <v>23.84</v>
      </c>
    </row>
    <row r="170" spans="1:3" ht="10.5" customHeight="1" x14ac:dyDescent="0.2">
      <c r="A170" s="51"/>
      <c r="B170" s="52" t="s">
        <v>255</v>
      </c>
      <c r="C170" s="53">
        <v>5.78</v>
      </c>
    </row>
    <row r="171" spans="1:3" ht="10.5" customHeight="1" x14ac:dyDescent="0.2">
      <c r="A171" s="51"/>
      <c r="B171" s="52" t="s">
        <v>256</v>
      </c>
      <c r="C171" s="53">
        <v>5.6</v>
      </c>
    </row>
    <row r="172" spans="1:3" ht="10.5" customHeight="1" x14ac:dyDescent="0.2">
      <c r="A172" s="51"/>
      <c r="B172" s="52" t="s">
        <v>257</v>
      </c>
      <c r="C172" s="53">
        <v>5.52</v>
      </c>
    </row>
    <row r="173" spans="1:3" ht="10.5" customHeight="1" x14ac:dyDescent="0.2">
      <c r="A173" s="51"/>
      <c r="B173" s="52" t="s">
        <v>258</v>
      </c>
      <c r="C173" s="53">
        <v>5.53</v>
      </c>
    </row>
    <row r="174" spans="1:3" ht="10.5" customHeight="1" x14ac:dyDescent="0.2">
      <c r="A174" s="51"/>
      <c r="B174" s="52" t="s">
        <v>259</v>
      </c>
      <c r="C174" s="53">
        <v>8.3800000000000008</v>
      </c>
    </row>
    <row r="175" spans="1:3" ht="10.5" customHeight="1" x14ac:dyDescent="0.2">
      <c r="A175" s="47" t="s">
        <v>41</v>
      </c>
      <c r="B175" s="48" t="s">
        <v>34</v>
      </c>
      <c r="C175" s="49">
        <f>+C176</f>
        <v>25.82</v>
      </c>
    </row>
    <row r="176" spans="1:3" ht="10.5" customHeight="1" x14ac:dyDescent="0.2">
      <c r="A176" s="51"/>
      <c r="B176" s="52" t="s">
        <v>260</v>
      </c>
      <c r="C176" s="53">
        <v>25.82</v>
      </c>
    </row>
    <row r="177" spans="1:3" ht="10.5" customHeight="1" x14ac:dyDescent="0.2">
      <c r="A177" s="47" t="s">
        <v>42</v>
      </c>
      <c r="B177" s="48" t="s">
        <v>48</v>
      </c>
      <c r="C177" s="49">
        <f>+C178</f>
        <v>29.75</v>
      </c>
    </row>
    <row r="178" spans="1:3" ht="10.5" customHeight="1" x14ac:dyDescent="0.2">
      <c r="A178" s="51"/>
      <c r="B178" s="52" t="s">
        <v>261</v>
      </c>
      <c r="C178" s="53">
        <v>29.75</v>
      </c>
    </row>
    <row r="179" spans="1:3" ht="10.5" customHeight="1" x14ac:dyDescent="0.2">
      <c r="A179" s="47" t="s">
        <v>43</v>
      </c>
      <c r="B179" s="48" t="s">
        <v>391</v>
      </c>
      <c r="C179" s="49">
        <f>SUM(C180:C197)</f>
        <v>194.59000000000003</v>
      </c>
    </row>
    <row r="180" spans="1:3" ht="10.5" customHeight="1" x14ac:dyDescent="0.2">
      <c r="A180" s="51"/>
      <c r="B180" s="52" t="s">
        <v>263</v>
      </c>
      <c r="C180" s="53">
        <v>13.44</v>
      </c>
    </row>
    <row r="181" spans="1:3" ht="10.5" customHeight="1" x14ac:dyDescent="0.2">
      <c r="A181" s="51"/>
      <c r="B181" s="52" t="s">
        <v>264</v>
      </c>
      <c r="C181" s="53">
        <v>4.83</v>
      </c>
    </row>
    <row r="182" spans="1:3" ht="10.5" customHeight="1" x14ac:dyDescent="0.2">
      <c r="A182" s="51"/>
      <c r="B182" s="52" t="s">
        <v>265</v>
      </c>
      <c r="C182" s="53">
        <v>13.48</v>
      </c>
    </row>
    <row r="183" spans="1:3" ht="10.5" customHeight="1" x14ac:dyDescent="0.2">
      <c r="A183" s="51"/>
      <c r="B183" s="52" t="s">
        <v>266</v>
      </c>
      <c r="C183" s="53">
        <v>4.8099999999999996</v>
      </c>
    </row>
    <row r="184" spans="1:3" ht="10.5" customHeight="1" x14ac:dyDescent="0.2">
      <c r="A184" s="51"/>
      <c r="B184" s="52" t="s">
        <v>267</v>
      </c>
      <c r="C184" s="53">
        <v>13.48</v>
      </c>
    </row>
    <row r="185" spans="1:3" ht="10.5" customHeight="1" x14ac:dyDescent="0.2">
      <c r="A185" s="51"/>
      <c r="B185" s="52" t="s">
        <v>268</v>
      </c>
      <c r="C185" s="53">
        <v>4.8</v>
      </c>
    </row>
    <row r="186" spans="1:3" ht="10.5" customHeight="1" x14ac:dyDescent="0.2">
      <c r="A186" s="51"/>
      <c r="B186" s="52" t="s">
        <v>269</v>
      </c>
      <c r="C186" s="53">
        <v>12.31</v>
      </c>
    </row>
    <row r="187" spans="1:3" ht="10.5" customHeight="1" x14ac:dyDescent="0.2">
      <c r="A187" s="51"/>
      <c r="B187" s="52" t="s">
        <v>270</v>
      </c>
      <c r="C187" s="53">
        <v>4.84</v>
      </c>
    </row>
    <row r="188" spans="1:3" ht="10.5" customHeight="1" x14ac:dyDescent="0.2">
      <c r="A188" s="51"/>
      <c r="B188" s="52" t="s">
        <v>271</v>
      </c>
      <c r="C188" s="53">
        <v>12.27</v>
      </c>
    </row>
    <row r="189" spans="1:3" ht="10.5" customHeight="1" x14ac:dyDescent="0.2">
      <c r="A189" s="51"/>
      <c r="B189" s="52" t="s">
        <v>272</v>
      </c>
      <c r="C189" s="53">
        <v>4.7699999999999996</v>
      </c>
    </row>
    <row r="190" spans="1:3" ht="10.5" customHeight="1" x14ac:dyDescent="0.2">
      <c r="A190" s="51"/>
      <c r="B190" s="52" t="s">
        <v>273</v>
      </c>
      <c r="C190" s="53">
        <v>11.4</v>
      </c>
    </row>
    <row r="191" spans="1:3" ht="10.5" customHeight="1" x14ac:dyDescent="0.2">
      <c r="A191" s="51"/>
      <c r="B191" s="52" t="s">
        <v>274</v>
      </c>
      <c r="C191" s="53">
        <v>1.55</v>
      </c>
    </row>
    <row r="192" spans="1:3" ht="10.5" customHeight="1" x14ac:dyDescent="0.2">
      <c r="A192" s="51"/>
      <c r="B192" s="52" t="s">
        <v>275</v>
      </c>
      <c r="C192" s="53">
        <v>1.55</v>
      </c>
    </row>
    <row r="193" spans="1:3" ht="10.5" customHeight="1" x14ac:dyDescent="0.2">
      <c r="A193" s="51"/>
      <c r="B193" s="52" t="s">
        <v>276</v>
      </c>
      <c r="C193" s="53">
        <v>11.9</v>
      </c>
    </row>
    <row r="194" spans="1:3" ht="10.5" customHeight="1" x14ac:dyDescent="0.2">
      <c r="A194" s="51"/>
      <c r="B194" s="52" t="s">
        <v>277</v>
      </c>
      <c r="C194" s="53">
        <v>28.99</v>
      </c>
    </row>
    <row r="195" spans="1:3" ht="10.5" customHeight="1" x14ac:dyDescent="0.2">
      <c r="A195" s="51"/>
      <c r="B195" s="52" t="s">
        <v>278</v>
      </c>
      <c r="C195" s="53">
        <v>4.84</v>
      </c>
    </row>
    <row r="196" spans="1:3" ht="10.5" customHeight="1" x14ac:dyDescent="0.2">
      <c r="A196" s="51"/>
      <c r="B196" s="52" t="s">
        <v>279</v>
      </c>
      <c r="C196" s="53">
        <v>6.75</v>
      </c>
    </row>
    <row r="197" spans="1:3" ht="10.5" customHeight="1" x14ac:dyDescent="0.2">
      <c r="A197" s="51"/>
      <c r="B197" s="52" t="s">
        <v>280</v>
      </c>
      <c r="C197" s="53">
        <v>38.58</v>
      </c>
    </row>
    <row r="198" spans="1:3" ht="10.5" customHeight="1" x14ac:dyDescent="0.2">
      <c r="A198" s="47" t="s">
        <v>44</v>
      </c>
      <c r="B198" s="48" t="s">
        <v>15</v>
      </c>
      <c r="C198" s="49">
        <f>SUM(C199:C201)</f>
        <v>50.95</v>
      </c>
    </row>
    <row r="199" spans="1:3" ht="10.5" customHeight="1" x14ac:dyDescent="0.2">
      <c r="A199" s="51"/>
      <c r="B199" s="52" t="s">
        <v>281</v>
      </c>
      <c r="C199" s="53">
        <v>27.62</v>
      </c>
    </row>
    <row r="200" spans="1:3" ht="10.5" customHeight="1" x14ac:dyDescent="0.2">
      <c r="A200" s="51"/>
      <c r="B200" s="52" t="s">
        <v>282</v>
      </c>
      <c r="C200" s="53">
        <v>7.85</v>
      </c>
    </row>
    <row r="201" spans="1:3" ht="10.5" customHeight="1" x14ac:dyDescent="0.2">
      <c r="A201" s="51"/>
      <c r="B201" s="52" t="s">
        <v>359</v>
      </c>
      <c r="C201" s="53">
        <v>15.48</v>
      </c>
    </row>
    <row r="202" spans="1:3" ht="10.5" customHeight="1" x14ac:dyDescent="0.2">
      <c r="A202" s="47" t="s">
        <v>45</v>
      </c>
      <c r="B202" s="48" t="s">
        <v>16</v>
      </c>
      <c r="C202" s="49">
        <f>+C203</f>
        <v>10.6</v>
      </c>
    </row>
    <row r="203" spans="1:3" ht="10.5" customHeight="1" x14ac:dyDescent="0.2">
      <c r="A203" s="51"/>
      <c r="B203" s="52" t="s">
        <v>384</v>
      </c>
      <c r="C203" s="53">
        <v>10.6</v>
      </c>
    </row>
    <row r="204" spans="1:3" ht="10.5" customHeight="1" x14ac:dyDescent="0.2">
      <c r="A204" s="47" t="s">
        <v>46</v>
      </c>
      <c r="B204" s="48" t="s">
        <v>391</v>
      </c>
      <c r="C204" s="49">
        <f>SUM(C205:C234)</f>
        <v>372.83</v>
      </c>
    </row>
    <row r="205" spans="1:3" ht="10.5" customHeight="1" x14ac:dyDescent="0.2">
      <c r="A205" s="51"/>
      <c r="B205" s="52" t="s">
        <v>283</v>
      </c>
      <c r="C205" s="53">
        <v>13.98</v>
      </c>
    </row>
    <row r="206" spans="1:3" ht="10.5" customHeight="1" x14ac:dyDescent="0.2">
      <c r="A206" s="51"/>
      <c r="B206" s="52" t="s">
        <v>284</v>
      </c>
      <c r="C206" s="53">
        <v>4.7699999999999996</v>
      </c>
    </row>
    <row r="207" spans="1:3" ht="10.5" customHeight="1" x14ac:dyDescent="0.2">
      <c r="A207" s="51"/>
      <c r="B207" s="52" t="s">
        <v>285</v>
      </c>
      <c r="C207" s="53">
        <v>13.83</v>
      </c>
    </row>
    <row r="208" spans="1:3" ht="10.5" customHeight="1" x14ac:dyDescent="0.2">
      <c r="A208" s="51"/>
      <c r="B208" s="52" t="s">
        <v>286</v>
      </c>
      <c r="C208" s="53">
        <v>4.8099999999999996</v>
      </c>
    </row>
    <row r="209" spans="1:40" ht="10.5" customHeight="1" x14ac:dyDescent="0.2">
      <c r="A209" s="51"/>
      <c r="B209" s="52" t="s">
        <v>287</v>
      </c>
      <c r="C209" s="53">
        <v>14.6</v>
      </c>
    </row>
    <row r="210" spans="1:40" ht="10.5" customHeight="1" x14ac:dyDescent="0.2">
      <c r="A210" s="51"/>
      <c r="B210" s="52" t="s">
        <v>288</v>
      </c>
      <c r="C210" s="53">
        <v>4.74</v>
      </c>
    </row>
    <row r="211" spans="1:40" ht="10.5" customHeight="1" x14ac:dyDescent="0.2">
      <c r="A211" s="51"/>
      <c r="B211" s="52" t="s">
        <v>289</v>
      </c>
      <c r="C211" s="53">
        <v>37.03</v>
      </c>
    </row>
    <row r="212" spans="1:40" ht="10.5" customHeight="1" x14ac:dyDescent="0.2">
      <c r="A212" s="51"/>
      <c r="B212" s="52" t="s">
        <v>290</v>
      </c>
      <c r="C212" s="53">
        <v>13.4</v>
      </c>
    </row>
    <row r="213" spans="1:40" ht="10.5" customHeight="1" x14ac:dyDescent="0.2">
      <c r="A213" s="51"/>
      <c r="B213" s="52" t="s">
        <v>291</v>
      </c>
      <c r="C213" s="53">
        <v>22.21</v>
      </c>
    </row>
    <row r="214" spans="1:40" ht="10.5" customHeight="1" x14ac:dyDescent="0.2">
      <c r="A214" s="51"/>
      <c r="B214" s="52" t="s">
        <v>292</v>
      </c>
      <c r="C214" s="53">
        <v>4.84</v>
      </c>
    </row>
    <row r="215" spans="1:40" s="53" customFormat="1" ht="10.5" customHeight="1" x14ac:dyDescent="0.2">
      <c r="A215" s="51"/>
      <c r="B215" s="52" t="s">
        <v>293</v>
      </c>
      <c r="C215" s="53">
        <v>18.84</v>
      </c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/>
      <c r="AJ215" s="50"/>
      <c r="AK215" s="50"/>
      <c r="AL215" s="50"/>
      <c r="AM215" s="50"/>
      <c r="AN215" s="50"/>
    </row>
    <row r="216" spans="1:40" s="53" customFormat="1" ht="10.5" customHeight="1" x14ac:dyDescent="0.2">
      <c r="A216" s="51"/>
      <c r="B216" s="52" t="s">
        <v>294</v>
      </c>
      <c r="C216" s="53">
        <v>4.84</v>
      </c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/>
      <c r="AJ216" s="50"/>
      <c r="AK216" s="50"/>
      <c r="AL216" s="50"/>
      <c r="AM216" s="50"/>
      <c r="AN216" s="50"/>
    </row>
    <row r="217" spans="1:40" s="53" customFormat="1" ht="10.5" customHeight="1" x14ac:dyDescent="0.2">
      <c r="A217" s="51"/>
      <c r="B217" s="52" t="s">
        <v>295</v>
      </c>
      <c r="C217" s="53">
        <v>1.55</v>
      </c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50"/>
      <c r="AJ217" s="50"/>
      <c r="AK217" s="50"/>
      <c r="AL217" s="50"/>
      <c r="AM217" s="50"/>
      <c r="AN217" s="50"/>
    </row>
    <row r="218" spans="1:40" s="53" customFormat="1" ht="10.5" customHeight="1" x14ac:dyDescent="0.2">
      <c r="A218" s="51"/>
      <c r="B218" s="52" t="s">
        <v>296</v>
      </c>
      <c r="C218" s="53">
        <v>1.55</v>
      </c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  <c r="AG218" s="50"/>
      <c r="AH218" s="50"/>
      <c r="AI218" s="50"/>
      <c r="AJ218" s="50"/>
      <c r="AK218" s="50"/>
      <c r="AL218" s="50"/>
      <c r="AM218" s="50"/>
      <c r="AN218" s="50"/>
    </row>
    <row r="219" spans="1:40" s="53" customFormat="1" ht="10.5" customHeight="1" x14ac:dyDescent="0.2">
      <c r="A219" s="51"/>
      <c r="B219" s="52" t="s">
        <v>381</v>
      </c>
      <c r="C219" s="53">
        <v>34.340000000000003</v>
      </c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  <c r="AG219" s="50"/>
      <c r="AH219" s="50"/>
      <c r="AI219" s="50"/>
      <c r="AJ219" s="50"/>
      <c r="AK219" s="50"/>
      <c r="AL219" s="50"/>
      <c r="AM219" s="50"/>
      <c r="AN219" s="50"/>
    </row>
    <row r="220" spans="1:40" s="53" customFormat="1" ht="10.5" customHeight="1" x14ac:dyDescent="0.2">
      <c r="A220" s="51"/>
      <c r="B220" s="52" t="s">
        <v>297</v>
      </c>
      <c r="C220" s="53">
        <v>13.3</v>
      </c>
      <c r="D220" s="50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  <c r="AG220" s="50"/>
      <c r="AH220" s="50"/>
      <c r="AI220" s="50"/>
      <c r="AJ220" s="50"/>
      <c r="AK220" s="50"/>
      <c r="AL220" s="50"/>
      <c r="AM220" s="50"/>
      <c r="AN220" s="50"/>
    </row>
    <row r="221" spans="1:40" s="53" customFormat="1" ht="10.5" customHeight="1" x14ac:dyDescent="0.2">
      <c r="A221" s="51"/>
      <c r="B221" s="52" t="s">
        <v>298</v>
      </c>
      <c r="C221" s="53">
        <v>4.84</v>
      </c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  <c r="AJ221" s="50"/>
      <c r="AK221" s="50"/>
      <c r="AL221" s="50"/>
      <c r="AM221" s="50"/>
      <c r="AN221" s="50"/>
    </row>
    <row r="222" spans="1:40" s="53" customFormat="1" ht="10.5" customHeight="1" x14ac:dyDescent="0.2">
      <c r="A222" s="51"/>
      <c r="B222" s="52" t="s">
        <v>299</v>
      </c>
      <c r="C222" s="53">
        <v>12.15</v>
      </c>
      <c r="D222" s="50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0"/>
      <c r="AD222" s="50"/>
      <c r="AE222" s="50"/>
      <c r="AF222" s="50"/>
      <c r="AG222" s="50"/>
      <c r="AH222" s="50"/>
      <c r="AI222" s="50"/>
      <c r="AJ222" s="50"/>
      <c r="AK222" s="50"/>
      <c r="AL222" s="50"/>
      <c r="AM222" s="50"/>
      <c r="AN222" s="50"/>
    </row>
    <row r="223" spans="1:40" s="53" customFormat="1" ht="10.5" customHeight="1" x14ac:dyDescent="0.2">
      <c r="A223" s="51"/>
      <c r="B223" s="52" t="s">
        <v>300</v>
      </c>
      <c r="C223" s="53">
        <v>4.84</v>
      </c>
      <c r="D223" s="50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  <c r="AC223" s="50"/>
      <c r="AD223" s="50"/>
      <c r="AE223" s="50"/>
      <c r="AF223" s="50"/>
      <c r="AG223" s="50"/>
      <c r="AH223" s="50"/>
      <c r="AI223" s="50"/>
      <c r="AJ223" s="50"/>
      <c r="AK223" s="50"/>
      <c r="AL223" s="50"/>
      <c r="AM223" s="50"/>
      <c r="AN223" s="50"/>
    </row>
    <row r="224" spans="1:40" s="53" customFormat="1" ht="10.5" customHeight="1" x14ac:dyDescent="0.2">
      <c r="A224" s="51"/>
      <c r="B224" s="52" t="s">
        <v>301</v>
      </c>
      <c r="C224" s="53">
        <v>14.03</v>
      </c>
      <c r="D224" s="50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  <c r="AC224" s="50"/>
      <c r="AD224" s="50"/>
      <c r="AE224" s="50"/>
      <c r="AF224" s="50"/>
      <c r="AG224" s="50"/>
      <c r="AH224" s="50"/>
      <c r="AI224" s="50"/>
      <c r="AJ224" s="50"/>
      <c r="AK224" s="50"/>
      <c r="AL224" s="50"/>
      <c r="AM224" s="50"/>
      <c r="AN224" s="50"/>
    </row>
    <row r="225" spans="1:40" s="53" customFormat="1" ht="10.5" customHeight="1" x14ac:dyDescent="0.2">
      <c r="A225" s="51"/>
      <c r="B225" s="52" t="s">
        <v>302</v>
      </c>
      <c r="C225" s="53">
        <v>4.84</v>
      </c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  <c r="AC225" s="50"/>
      <c r="AD225" s="50"/>
      <c r="AE225" s="50"/>
      <c r="AF225" s="50"/>
      <c r="AG225" s="50"/>
      <c r="AH225" s="50"/>
      <c r="AI225" s="50"/>
      <c r="AJ225" s="50"/>
      <c r="AK225" s="50"/>
      <c r="AL225" s="50"/>
      <c r="AM225" s="50"/>
      <c r="AN225" s="50"/>
    </row>
    <row r="226" spans="1:40" s="53" customFormat="1" ht="10.5" customHeight="1" x14ac:dyDescent="0.2">
      <c r="A226" s="51"/>
      <c r="B226" s="52" t="s">
        <v>303</v>
      </c>
      <c r="C226" s="53">
        <v>13.3</v>
      </c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  <c r="AJ226" s="50"/>
      <c r="AK226" s="50"/>
      <c r="AL226" s="50"/>
      <c r="AM226" s="50"/>
      <c r="AN226" s="50"/>
    </row>
    <row r="227" spans="1:40" s="53" customFormat="1" ht="10.5" customHeight="1" x14ac:dyDescent="0.2">
      <c r="A227" s="51"/>
      <c r="B227" s="52" t="s">
        <v>304</v>
      </c>
      <c r="C227" s="53">
        <v>4.84</v>
      </c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  <c r="AN227" s="50"/>
    </row>
    <row r="228" spans="1:40" s="53" customFormat="1" ht="10.5" customHeight="1" x14ac:dyDescent="0.2">
      <c r="A228" s="51"/>
      <c r="B228" s="52" t="s">
        <v>305</v>
      </c>
      <c r="C228" s="53">
        <v>13.3</v>
      </c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  <c r="AN228" s="50"/>
    </row>
    <row r="229" spans="1:40" s="53" customFormat="1" ht="10.5" customHeight="1" x14ac:dyDescent="0.2">
      <c r="A229" s="51"/>
      <c r="B229" s="52" t="s">
        <v>306</v>
      </c>
      <c r="C229" s="53">
        <v>4.84</v>
      </c>
      <c r="D229" s="50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  <c r="AN229" s="50"/>
    </row>
    <row r="230" spans="1:40" s="53" customFormat="1" ht="10.5" customHeight="1" x14ac:dyDescent="0.2">
      <c r="A230" s="51"/>
      <c r="B230" s="52" t="s">
        <v>307</v>
      </c>
      <c r="C230" s="53">
        <v>16.18</v>
      </c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  <c r="AJ230" s="50"/>
      <c r="AK230" s="50"/>
      <c r="AL230" s="50"/>
      <c r="AM230" s="50"/>
      <c r="AN230" s="50"/>
    </row>
    <row r="231" spans="1:40" ht="10.5" customHeight="1" x14ac:dyDescent="0.2">
      <c r="A231" s="51"/>
      <c r="B231" s="52" t="s">
        <v>308</v>
      </c>
      <c r="C231" s="53">
        <v>4.84</v>
      </c>
    </row>
    <row r="232" spans="1:40" ht="10.5" customHeight="1" x14ac:dyDescent="0.2">
      <c r="A232" s="51"/>
      <c r="B232" s="52" t="s">
        <v>309</v>
      </c>
      <c r="C232" s="53">
        <v>18.63</v>
      </c>
    </row>
    <row r="233" spans="1:40" ht="10.5" customHeight="1" x14ac:dyDescent="0.2">
      <c r="A233" s="51"/>
      <c r="B233" s="52" t="s">
        <v>380</v>
      </c>
      <c r="C233" s="53">
        <v>4.84</v>
      </c>
    </row>
    <row r="234" spans="1:40" ht="10.5" customHeight="1" x14ac:dyDescent="0.2">
      <c r="A234" s="51"/>
      <c r="B234" s="52" t="s">
        <v>310</v>
      </c>
      <c r="C234" s="53">
        <v>42.73</v>
      </c>
    </row>
    <row r="235" spans="1:40" ht="10.5" customHeight="1" x14ac:dyDescent="0.2">
      <c r="A235" s="47" t="s">
        <v>49</v>
      </c>
      <c r="B235" s="48" t="s">
        <v>391</v>
      </c>
      <c r="C235" s="49">
        <f>SUM(C236:C240)</f>
        <v>100.92999999999999</v>
      </c>
    </row>
    <row r="236" spans="1:40" ht="10.5" customHeight="1" x14ac:dyDescent="0.2">
      <c r="A236" s="51"/>
      <c r="B236" s="52" t="s">
        <v>317</v>
      </c>
      <c r="C236" s="53">
        <v>62.46</v>
      </c>
    </row>
    <row r="237" spans="1:40" ht="10.5" customHeight="1" x14ac:dyDescent="0.2">
      <c r="A237" s="51"/>
      <c r="B237" s="52" t="s">
        <v>318</v>
      </c>
      <c r="C237" s="53">
        <v>25.93</v>
      </c>
    </row>
    <row r="238" spans="1:40" ht="10.5" customHeight="1" x14ac:dyDescent="0.2">
      <c r="A238" s="51"/>
      <c r="B238" s="52" t="s">
        <v>319</v>
      </c>
      <c r="C238" s="53">
        <v>4.84</v>
      </c>
    </row>
    <row r="239" spans="1:40" ht="10.5" customHeight="1" x14ac:dyDescent="0.2">
      <c r="A239" s="51"/>
      <c r="B239" s="52" t="s">
        <v>320</v>
      </c>
      <c r="C239" s="53">
        <v>4.18</v>
      </c>
    </row>
    <row r="240" spans="1:40" ht="10.5" customHeight="1" x14ac:dyDescent="0.2">
      <c r="A240" s="51"/>
      <c r="B240" s="52" t="s">
        <v>322</v>
      </c>
      <c r="C240" s="53">
        <v>3.52</v>
      </c>
    </row>
    <row r="241" spans="1:40" ht="10.5" customHeight="1" x14ac:dyDescent="0.2">
      <c r="A241" s="47" t="s">
        <v>50</v>
      </c>
      <c r="B241" s="48" t="s">
        <v>385</v>
      </c>
      <c r="C241" s="49">
        <f>+C242</f>
        <v>57.13</v>
      </c>
    </row>
    <row r="242" spans="1:40" ht="10.5" customHeight="1" x14ac:dyDescent="0.2">
      <c r="A242" s="51"/>
      <c r="B242" s="52" t="s">
        <v>323</v>
      </c>
      <c r="C242" s="53">
        <v>57.13</v>
      </c>
    </row>
    <row r="243" spans="1:40" ht="10.5" customHeight="1" x14ac:dyDescent="0.2">
      <c r="A243" s="47" t="s">
        <v>51</v>
      </c>
      <c r="B243" s="48" t="s">
        <v>391</v>
      </c>
      <c r="C243" s="49">
        <f>SUM(C244:C277)</f>
        <v>408.68999999999994</v>
      </c>
    </row>
    <row r="244" spans="1:40" s="53" customFormat="1" ht="10.5" customHeight="1" x14ac:dyDescent="0.2">
      <c r="A244" s="51"/>
      <c r="B244" s="52" t="s">
        <v>325</v>
      </c>
      <c r="C244" s="53">
        <v>13.89</v>
      </c>
      <c r="D244" s="50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  <c r="AJ244" s="50"/>
      <c r="AK244" s="50"/>
      <c r="AL244" s="50"/>
      <c r="AM244" s="50"/>
      <c r="AN244" s="50"/>
    </row>
    <row r="245" spans="1:40" s="53" customFormat="1" ht="10.5" customHeight="1" x14ac:dyDescent="0.2">
      <c r="A245" s="51"/>
      <c r="B245" s="52" t="s">
        <v>326</v>
      </c>
      <c r="C245" s="53">
        <v>4.84</v>
      </c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  <c r="AJ245" s="50"/>
      <c r="AK245" s="50"/>
      <c r="AL245" s="50"/>
      <c r="AM245" s="50"/>
      <c r="AN245" s="50"/>
    </row>
    <row r="246" spans="1:40" s="53" customFormat="1" ht="10.5" customHeight="1" x14ac:dyDescent="0.2">
      <c r="A246" s="51"/>
      <c r="B246" s="52" t="s">
        <v>327</v>
      </c>
      <c r="C246" s="53">
        <v>13.98</v>
      </c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  <c r="AG246" s="50"/>
      <c r="AH246" s="50"/>
      <c r="AI246" s="50"/>
      <c r="AJ246" s="50"/>
      <c r="AK246" s="50"/>
      <c r="AL246" s="50"/>
      <c r="AM246" s="50"/>
      <c r="AN246" s="50"/>
    </row>
    <row r="247" spans="1:40" s="53" customFormat="1" ht="10.5" customHeight="1" x14ac:dyDescent="0.2">
      <c r="A247" s="51"/>
      <c r="B247" s="52" t="s">
        <v>328</v>
      </c>
      <c r="C247" s="53">
        <v>4.84</v>
      </c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  <c r="AG247" s="50"/>
      <c r="AH247" s="50"/>
      <c r="AI247" s="50"/>
      <c r="AJ247" s="50"/>
      <c r="AK247" s="50"/>
      <c r="AL247" s="50"/>
      <c r="AM247" s="50"/>
      <c r="AN247" s="50"/>
    </row>
    <row r="248" spans="1:40" s="53" customFormat="1" ht="10.5" customHeight="1" x14ac:dyDescent="0.2">
      <c r="A248" s="51"/>
      <c r="B248" s="52" t="s">
        <v>329</v>
      </c>
      <c r="C248" s="53">
        <v>13.98</v>
      </c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  <c r="AG248" s="50"/>
      <c r="AH248" s="50"/>
      <c r="AI248" s="50"/>
      <c r="AJ248" s="50"/>
      <c r="AK248" s="50"/>
      <c r="AL248" s="50"/>
      <c r="AM248" s="50"/>
      <c r="AN248" s="50"/>
    </row>
    <row r="249" spans="1:40" s="53" customFormat="1" ht="10.5" customHeight="1" x14ac:dyDescent="0.2">
      <c r="A249" s="51"/>
      <c r="B249" s="52" t="s">
        <v>330</v>
      </c>
      <c r="C249" s="53">
        <v>4.84</v>
      </c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  <c r="AJ249" s="50"/>
      <c r="AK249" s="50"/>
      <c r="AL249" s="50"/>
      <c r="AM249" s="50"/>
      <c r="AN249" s="50"/>
    </row>
    <row r="250" spans="1:40" s="53" customFormat="1" ht="10.5" customHeight="1" x14ac:dyDescent="0.2">
      <c r="A250" s="51"/>
      <c r="B250" s="52" t="s">
        <v>331</v>
      </c>
      <c r="C250" s="53">
        <v>14.11</v>
      </c>
      <c r="D250" s="50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50"/>
      <c r="AF250" s="50"/>
      <c r="AG250" s="50"/>
      <c r="AH250" s="50"/>
      <c r="AI250" s="50"/>
      <c r="AJ250" s="50"/>
      <c r="AK250" s="50"/>
      <c r="AL250" s="50"/>
      <c r="AM250" s="50"/>
      <c r="AN250" s="50"/>
    </row>
    <row r="251" spans="1:40" s="53" customFormat="1" ht="10.5" customHeight="1" x14ac:dyDescent="0.2">
      <c r="A251" s="51"/>
      <c r="B251" s="52" t="s">
        <v>332</v>
      </c>
      <c r="C251" s="53">
        <v>4.84</v>
      </c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  <c r="AC251" s="50"/>
      <c r="AD251" s="50"/>
      <c r="AE251" s="50"/>
      <c r="AF251" s="50"/>
      <c r="AG251" s="50"/>
      <c r="AH251" s="50"/>
      <c r="AI251" s="50"/>
      <c r="AJ251" s="50"/>
      <c r="AK251" s="50"/>
      <c r="AL251" s="50"/>
      <c r="AM251" s="50"/>
      <c r="AN251" s="50"/>
    </row>
    <row r="252" spans="1:40" s="53" customFormat="1" ht="10.5" customHeight="1" x14ac:dyDescent="0.2">
      <c r="A252" s="51"/>
      <c r="B252" s="52" t="s">
        <v>333</v>
      </c>
      <c r="C252" s="53">
        <v>13.98</v>
      </c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  <c r="AC252" s="50"/>
      <c r="AD252" s="50"/>
      <c r="AE252" s="50"/>
      <c r="AF252" s="50"/>
      <c r="AG252" s="50"/>
      <c r="AH252" s="50"/>
      <c r="AI252" s="50"/>
      <c r="AJ252" s="50"/>
      <c r="AK252" s="50"/>
      <c r="AL252" s="50"/>
      <c r="AM252" s="50"/>
      <c r="AN252" s="50"/>
    </row>
    <row r="253" spans="1:40" s="53" customFormat="1" ht="10.5" customHeight="1" x14ac:dyDescent="0.2">
      <c r="A253" s="51"/>
      <c r="B253" s="52" t="s">
        <v>334</v>
      </c>
      <c r="C253" s="53">
        <v>4.84</v>
      </c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0"/>
      <c r="AI253" s="50"/>
      <c r="AJ253" s="50"/>
      <c r="AK253" s="50"/>
      <c r="AL253" s="50"/>
      <c r="AM253" s="50"/>
      <c r="AN253" s="50"/>
    </row>
    <row r="254" spans="1:40" s="53" customFormat="1" ht="10.5" customHeight="1" x14ac:dyDescent="0.2">
      <c r="A254" s="51"/>
      <c r="B254" s="52" t="s">
        <v>335</v>
      </c>
      <c r="C254" s="53">
        <v>13.98</v>
      </c>
      <c r="D254" s="50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  <c r="AG254" s="50"/>
      <c r="AH254" s="50"/>
      <c r="AI254" s="50"/>
      <c r="AJ254" s="50"/>
      <c r="AK254" s="50"/>
      <c r="AL254" s="50"/>
      <c r="AM254" s="50"/>
      <c r="AN254" s="50"/>
    </row>
    <row r="255" spans="1:40" s="53" customFormat="1" ht="10.5" customHeight="1" x14ac:dyDescent="0.2">
      <c r="A255" s="51"/>
      <c r="B255" s="52" t="s">
        <v>336</v>
      </c>
      <c r="C255" s="53">
        <v>4.84</v>
      </c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  <c r="AC255" s="50"/>
      <c r="AD255" s="50"/>
      <c r="AE255" s="50"/>
      <c r="AF255" s="50"/>
      <c r="AG255" s="50"/>
      <c r="AH255" s="50"/>
      <c r="AI255" s="50"/>
      <c r="AJ255" s="50"/>
      <c r="AK255" s="50"/>
      <c r="AL255" s="50"/>
      <c r="AM255" s="50"/>
      <c r="AN255" s="50"/>
    </row>
    <row r="256" spans="1:40" s="53" customFormat="1" ht="10.5" customHeight="1" x14ac:dyDescent="0.2">
      <c r="A256" s="51"/>
      <c r="B256" s="52" t="s">
        <v>337</v>
      </c>
      <c r="C256" s="53">
        <v>13.88</v>
      </c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  <c r="AC256" s="50"/>
      <c r="AD256" s="50"/>
      <c r="AE256" s="50"/>
      <c r="AF256" s="50"/>
      <c r="AG256" s="50"/>
      <c r="AH256" s="50"/>
      <c r="AI256" s="50"/>
      <c r="AJ256" s="50"/>
      <c r="AK256" s="50"/>
      <c r="AL256" s="50"/>
      <c r="AM256" s="50"/>
      <c r="AN256" s="50"/>
    </row>
    <row r="257" spans="1:40" s="53" customFormat="1" ht="10.5" customHeight="1" x14ac:dyDescent="0.2">
      <c r="A257" s="51"/>
      <c r="B257" s="52" t="s">
        <v>338</v>
      </c>
      <c r="C257" s="53">
        <v>4.84</v>
      </c>
      <c r="D257" s="50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  <c r="AG257" s="50"/>
      <c r="AH257" s="50"/>
      <c r="AI257" s="50"/>
      <c r="AJ257" s="50"/>
      <c r="AK257" s="50"/>
      <c r="AL257" s="50"/>
      <c r="AM257" s="50"/>
      <c r="AN257" s="50"/>
    </row>
    <row r="258" spans="1:40" s="53" customFormat="1" ht="10.5" customHeight="1" x14ac:dyDescent="0.2">
      <c r="A258" s="51"/>
      <c r="B258" s="52" t="s">
        <v>339</v>
      </c>
      <c r="C258" s="53">
        <v>13.81</v>
      </c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  <c r="AG258" s="50"/>
      <c r="AH258" s="50"/>
      <c r="AI258" s="50"/>
      <c r="AJ258" s="50"/>
      <c r="AK258" s="50"/>
      <c r="AL258" s="50"/>
      <c r="AM258" s="50"/>
      <c r="AN258" s="50"/>
    </row>
    <row r="259" spans="1:40" s="53" customFormat="1" ht="10.5" customHeight="1" x14ac:dyDescent="0.2">
      <c r="A259" s="51"/>
      <c r="B259" s="52" t="s">
        <v>340</v>
      </c>
      <c r="C259" s="53">
        <v>4.84</v>
      </c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  <c r="AG259" s="50"/>
      <c r="AH259" s="50"/>
      <c r="AI259" s="50"/>
      <c r="AJ259" s="50"/>
      <c r="AK259" s="50"/>
      <c r="AL259" s="50"/>
      <c r="AM259" s="50"/>
      <c r="AN259" s="50"/>
    </row>
    <row r="260" spans="1:40" s="53" customFormat="1" ht="10.5" customHeight="1" x14ac:dyDescent="0.2">
      <c r="A260" s="51"/>
      <c r="B260" s="52" t="s">
        <v>341</v>
      </c>
      <c r="C260" s="53">
        <v>14.36</v>
      </c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  <c r="AJ260" s="50"/>
      <c r="AK260" s="50"/>
      <c r="AL260" s="50"/>
      <c r="AM260" s="50"/>
      <c r="AN260" s="50"/>
    </row>
    <row r="261" spans="1:40" s="53" customFormat="1" ht="10.5" customHeight="1" x14ac:dyDescent="0.2">
      <c r="A261" s="51"/>
      <c r="B261" s="52" t="s">
        <v>342</v>
      </c>
      <c r="C261" s="53">
        <v>4.84</v>
      </c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  <c r="AG261" s="50"/>
      <c r="AH261" s="50"/>
      <c r="AI261" s="50"/>
      <c r="AJ261" s="50"/>
      <c r="AK261" s="50"/>
      <c r="AL261" s="50"/>
      <c r="AM261" s="50"/>
      <c r="AN261" s="50"/>
    </row>
    <row r="262" spans="1:40" s="53" customFormat="1" ht="10.5" customHeight="1" x14ac:dyDescent="0.2">
      <c r="A262" s="51"/>
      <c r="B262" s="52" t="s">
        <v>343</v>
      </c>
      <c r="C262" s="53">
        <v>14.11</v>
      </c>
      <c r="D262" s="50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0"/>
      <c r="AH262" s="50"/>
      <c r="AI262" s="50"/>
      <c r="AJ262" s="50"/>
      <c r="AK262" s="50"/>
      <c r="AL262" s="50"/>
      <c r="AM262" s="50"/>
      <c r="AN262" s="50"/>
    </row>
    <row r="263" spans="1:40" s="53" customFormat="1" ht="10.5" customHeight="1" x14ac:dyDescent="0.2">
      <c r="A263" s="51"/>
      <c r="B263" s="52" t="s">
        <v>344</v>
      </c>
      <c r="C263" s="53">
        <v>4.84</v>
      </c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  <c r="AG263" s="50"/>
      <c r="AH263" s="50"/>
      <c r="AI263" s="50"/>
      <c r="AJ263" s="50"/>
      <c r="AK263" s="50"/>
      <c r="AL263" s="50"/>
      <c r="AM263" s="50"/>
      <c r="AN263" s="50"/>
    </row>
    <row r="264" spans="1:40" s="53" customFormat="1" ht="10.5" customHeight="1" x14ac:dyDescent="0.2">
      <c r="A264" s="51"/>
      <c r="B264" s="52" t="s">
        <v>345</v>
      </c>
      <c r="C264" s="53">
        <v>26.98</v>
      </c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  <c r="AG264" s="50"/>
      <c r="AH264" s="50"/>
      <c r="AI264" s="50"/>
      <c r="AJ264" s="50"/>
      <c r="AK264" s="50"/>
      <c r="AL264" s="50"/>
      <c r="AM264" s="50"/>
      <c r="AN264" s="50"/>
    </row>
    <row r="265" spans="1:40" s="53" customFormat="1" ht="10.5" customHeight="1" x14ac:dyDescent="0.2">
      <c r="A265" s="51"/>
      <c r="B265" s="52" t="s">
        <v>346</v>
      </c>
      <c r="C265" s="53">
        <v>7.21</v>
      </c>
      <c r="D265" s="50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  <c r="AC265" s="50"/>
      <c r="AD265" s="50"/>
      <c r="AE265" s="50"/>
      <c r="AF265" s="50"/>
      <c r="AG265" s="50"/>
      <c r="AH265" s="50"/>
      <c r="AI265" s="50"/>
      <c r="AJ265" s="50"/>
      <c r="AK265" s="50"/>
      <c r="AL265" s="50"/>
      <c r="AM265" s="50"/>
      <c r="AN265" s="50"/>
    </row>
    <row r="266" spans="1:40" s="53" customFormat="1" ht="10.5" customHeight="1" x14ac:dyDescent="0.2">
      <c r="A266" s="51"/>
      <c r="B266" s="52" t="s">
        <v>347</v>
      </c>
      <c r="C266" s="53">
        <v>21.66</v>
      </c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  <c r="AC266" s="50"/>
      <c r="AD266" s="50"/>
      <c r="AE266" s="50"/>
      <c r="AF266" s="50"/>
      <c r="AG266" s="50"/>
      <c r="AH266" s="50"/>
      <c r="AI266" s="50"/>
      <c r="AJ266" s="50"/>
      <c r="AK266" s="50"/>
      <c r="AL266" s="50"/>
      <c r="AM266" s="50"/>
      <c r="AN266" s="50"/>
    </row>
    <row r="267" spans="1:40" s="53" customFormat="1" ht="10.5" customHeight="1" x14ac:dyDescent="0.2">
      <c r="A267" s="51"/>
      <c r="B267" s="52" t="s">
        <v>348</v>
      </c>
      <c r="C267" s="53">
        <v>7.38</v>
      </c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0"/>
      <c r="AK267" s="50"/>
      <c r="AL267" s="50"/>
      <c r="AM267" s="50"/>
      <c r="AN267" s="50"/>
    </row>
    <row r="268" spans="1:40" s="53" customFormat="1" ht="10.5" customHeight="1" x14ac:dyDescent="0.2">
      <c r="A268" s="51"/>
      <c r="B268" s="52" t="s">
        <v>349</v>
      </c>
      <c r="C268" s="53">
        <v>17.84</v>
      </c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  <c r="AJ268" s="50"/>
      <c r="AK268" s="50"/>
      <c r="AL268" s="50"/>
      <c r="AM268" s="50"/>
      <c r="AN268" s="50"/>
    </row>
    <row r="269" spans="1:40" s="53" customFormat="1" ht="10.5" customHeight="1" x14ac:dyDescent="0.2">
      <c r="A269" s="51"/>
      <c r="B269" s="52" t="s">
        <v>350</v>
      </c>
      <c r="C269" s="53">
        <v>1.55</v>
      </c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  <c r="AC269" s="50"/>
      <c r="AD269" s="50"/>
      <c r="AE269" s="50"/>
      <c r="AF269" s="50"/>
      <c r="AG269" s="50"/>
      <c r="AH269" s="50"/>
      <c r="AI269" s="50"/>
      <c r="AJ269" s="50"/>
      <c r="AK269" s="50"/>
      <c r="AL269" s="50"/>
      <c r="AM269" s="50"/>
      <c r="AN269" s="50"/>
    </row>
    <row r="270" spans="1:40" s="53" customFormat="1" ht="10.5" customHeight="1" x14ac:dyDescent="0.2">
      <c r="A270" s="51"/>
      <c r="B270" s="52" t="s">
        <v>351</v>
      </c>
      <c r="C270" s="53">
        <v>1.66</v>
      </c>
      <c r="D270" s="50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  <c r="AC270" s="50"/>
      <c r="AD270" s="50"/>
      <c r="AE270" s="50"/>
      <c r="AF270" s="50"/>
      <c r="AG270" s="50"/>
      <c r="AH270" s="50"/>
      <c r="AI270" s="50"/>
      <c r="AJ270" s="50"/>
      <c r="AK270" s="50"/>
      <c r="AL270" s="50"/>
      <c r="AM270" s="50"/>
      <c r="AN270" s="50"/>
    </row>
    <row r="271" spans="1:40" s="53" customFormat="1" ht="10.5" customHeight="1" x14ac:dyDescent="0.2">
      <c r="A271" s="51"/>
      <c r="B271" s="52" t="s">
        <v>352</v>
      </c>
      <c r="C271" s="53">
        <v>5.24</v>
      </c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  <c r="AJ271" s="50"/>
      <c r="AK271" s="50"/>
      <c r="AL271" s="50"/>
      <c r="AM271" s="50"/>
      <c r="AN271" s="50"/>
    </row>
    <row r="272" spans="1:40" s="53" customFormat="1" ht="10.5" customHeight="1" x14ac:dyDescent="0.2">
      <c r="A272" s="51"/>
      <c r="B272" s="52" t="s">
        <v>353</v>
      </c>
      <c r="C272" s="53">
        <v>10.46</v>
      </c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  <c r="AC272" s="50"/>
      <c r="AD272" s="50"/>
      <c r="AE272" s="50"/>
      <c r="AF272" s="50"/>
      <c r="AG272" s="50"/>
      <c r="AH272" s="50"/>
      <c r="AI272" s="50"/>
      <c r="AJ272" s="50"/>
      <c r="AK272" s="50"/>
      <c r="AL272" s="50"/>
      <c r="AM272" s="50"/>
      <c r="AN272" s="50"/>
    </row>
    <row r="273" spans="1:40" s="53" customFormat="1" ht="10.5" customHeight="1" x14ac:dyDescent="0.2">
      <c r="A273" s="51"/>
      <c r="B273" s="52" t="s">
        <v>354</v>
      </c>
      <c r="C273" s="53">
        <v>7.21</v>
      </c>
      <c r="D273" s="50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  <c r="AC273" s="50"/>
      <c r="AD273" s="50"/>
      <c r="AE273" s="50"/>
      <c r="AF273" s="50"/>
      <c r="AG273" s="50"/>
      <c r="AH273" s="50"/>
      <c r="AI273" s="50"/>
      <c r="AJ273" s="50"/>
      <c r="AK273" s="50"/>
      <c r="AL273" s="50"/>
      <c r="AM273" s="50"/>
      <c r="AN273" s="50"/>
    </row>
    <row r="274" spans="1:40" s="53" customFormat="1" ht="10.5" customHeight="1" x14ac:dyDescent="0.2">
      <c r="A274" s="51"/>
      <c r="B274" s="52" t="s">
        <v>355</v>
      </c>
      <c r="C274" s="53">
        <v>14.27</v>
      </c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  <c r="AC274" s="50"/>
      <c r="AD274" s="50"/>
      <c r="AE274" s="50"/>
      <c r="AF274" s="50"/>
      <c r="AG274" s="50"/>
      <c r="AH274" s="50"/>
      <c r="AI274" s="50"/>
      <c r="AJ274" s="50"/>
      <c r="AK274" s="50"/>
      <c r="AL274" s="50"/>
      <c r="AM274" s="50"/>
      <c r="AN274" s="50"/>
    </row>
    <row r="275" spans="1:40" s="53" customFormat="1" ht="10.5" customHeight="1" x14ac:dyDescent="0.2">
      <c r="A275" s="51"/>
      <c r="B275" s="52" t="s">
        <v>356</v>
      </c>
      <c r="C275" s="53">
        <v>6.76</v>
      </c>
      <c r="D275" s="50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  <c r="AJ275" s="50"/>
      <c r="AK275" s="50"/>
      <c r="AL275" s="50"/>
      <c r="AM275" s="50"/>
      <c r="AN275" s="50"/>
    </row>
    <row r="276" spans="1:40" ht="10.5" customHeight="1" x14ac:dyDescent="0.2">
      <c r="A276" s="51"/>
      <c r="B276" s="52" t="s">
        <v>357</v>
      </c>
      <c r="C276" s="53">
        <v>12.12</v>
      </c>
    </row>
    <row r="277" spans="1:40" ht="10.5" customHeight="1" x14ac:dyDescent="0.2">
      <c r="A277" s="51"/>
      <c r="B277" s="52" t="s">
        <v>358</v>
      </c>
      <c r="C277" s="53">
        <v>79.87</v>
      </c>
    </row>
    <row r="278" spans="1:40" ht="10.5" customHeight="1" x14ac:dyDescent="0.2">
      <c r="A278" s="47" t="s">
        <v>52</v>
      </c>
      <c r="B278" s="48" t="s">
        <v>391</v>
      </c>
      <c r="C278" s="49">
        <f>SUM(C279:C293)</f>
        <v>174.51000000000002</v>
      </c>
    </row>
    <row r="279" spans="1:40" ht="10.5" customHeight="1" x14ac:dyDescent="0.2">
      <c r="A279" s="51"/>
      <c r="B279" s="52" t="s">
        <v>360</v>
      </c>
      <c r="C279" s="53">
        <v>12.57</v>
      </c>
    </row>
    <row r="280" spans="1:40" ht="10.5" customHeight="1" x14ac:dyDescent="0.2">
      <c r="A280" s="51"/>
      <c r="B280" s="52" t="s">
        <v>361</v>
      </c>
      <c r="C280" s="53">
        <v>4.84</v>
      </c>
    </row>
    <row r="281" spans="1:40" ht="10.5" customHeight="1" x14ac:dyDescent="0.2">
      <c r="A281" s="51"/>
      <c r="B281" s="52" t="s">
        <v>362</v>
      </c>
      <c r="C281" s="53">
        <v>12.57</v>
      </c>
    </row>
    <row r="282" spans="1:40" ht="10.5" customHeight="1" x14ac:dyDescent="0.2">
      <c r="A282" s="51"/>
      <c r="B282" s="52" t="s">
        <v>363</v>
      </c>
      <c r="C282" s="53">
        <v>4.84</v>
      </c>
    </row>
    <row r="283" spans="1:40" ht="10.5" customHeight="1" x14ac:dyDescent="0.2">
      <c r="A283" s="51"/>
      <c r="B283" s="52" t="s">
        <v>364</v>
      </c>
      <c r="C283" s="53">
        <v>13.3</v>
      </c>
    </row>
    <row r="284" spans="1:40" ht="10.5" customHeight="1" x14ac:dyDescent="0.2">
      <c r="A284" s="51"/>
      <c r="B284" s="52" t="s">
        <v>365</v>
      </c>
      <c r="C284" s="53">
        <v>4.84</v>
      </c>
    </row>
    <row r="285" spans="1:40" ht="10.5" customHeight="1" x14ac:dyDescent="0.2">
      <c r="A285" s="51"/>
      <c r="B285" s="52" t="s">
        <v>366</v>
      </c>
      <c r="C285" s="53">
        <v>12.57</v>
      </c>
    </row>
    <row r="286" spans="1:40" ht="10.5" customHeight="1" x14ac:dyDescent="0.2">
      <c r="A286" s="51"/>
      <c r="B286" s="52" t="s">
        <v>367</v>
      </c>
      <c r="C286" s="53">
        <v>4.84</v>
      </c>
    </row>
    <row r="287" spans="1:40" ht="10.5" customHeight="1" x14ac:dyDescent="0.2">
      <c r="A287" s="51"/>
      <c r="B287" s="52" t="s">
        <v>368</v>
      </c>
      <c r="C287" s="53">
        <v>12.57</v>
      </c>
    </row>
    <row r="288" spans="1:40" ht="10.5" customHeight="1" x14ac:dyDescent="0.2">
      <c r="A288" s="51"/>
      <c r="B288" s="52" t="s">
        <v>369</v>
      </c>
      <c r="C288" s="53">
        <v>4.84</v>
      </c>
    </row>
    <row r="289" spans="1:3" ht="10.5" customHeight="1" x14ac:dyDescent="0.2">
      <c r="A289" s="51"/>
      <c r="B289" s="52" t="s">
        <v>370</v>
      </c>
      <c r="C289" s="53">
        <v>16.18</v>
      </c>
    </row>
    <row r="290" spans="1:3" ht="10.5" customHeight="1" x14ac:dyDescent="0.2">
      <c r="A290" s="51"/>
      <c r="B290" s="52" t="s">
        <v>371</v>
      </c>
      <c r="C290" s="53">
        <v>4.84</v>
      </c>
    </row>
    <row r="291" spans="1:3" ht="10.5" customHeight="1" x14ac:dyDescent="0.2">
      <c r="A291" s="51"/>
      <c r="B291" s="52" t="s">
        <v>372</v>
      </c>
      <c r="C291" s="53">
        <v>18.63</v>
      </c>
    </row>
    <row r="292" spans="1:3" ht="10.5" customHeight="1" x14ac:dyDescent="0.2">
      <c r="A292" s="51"/>
      <c r="B292" s="52" t="s">
        <v>379</v>
      </c>
      <c r="C292" s="53">
        <v>4.84</v>
      </c>
    </row>
    <row r="293" spans="1:3" ht="10.5" customHeight="1" x14ac:dyDescent="0.2">
      <c r="A293" s="51"/>
      <c r="B293" s="52" t="s">
        <v>373</v>
      </c>
      <c r="C293" s="53">
        <v>42.24</v>
      </c>
    </row>
    <row r="294" spans="1:3" ht="10.5" customHeight="1" x14ac:dyDescent="0.2">
      <c r="A294" s="54" t="s">
        <v>460</v>
      </c>
      <c r="B294" s="55" t="s">
        <v>462</v>
      </c>
      <c r="C294" s="56">
        <v>30</v>
      </c>
    </row>
    <row r="295" spans="1:3" ht="10.5" customHeight="1" x14ac:dyDescent="0.2">
      <c r="A295" s="54" t="s">
        <v>461</v>
      </c>
      <c r="B295" s="55" t="s">
        <v>463</v>
      </c>
      <c r="C295" s="56">
        <v>35</v>
      </c>
    </row>
    <row r="296" spans="1:3" ht="10.5" customHeight="1" x14ac:dyDescent="0.2">
      <c r="A296" s="47" t="s">
        <v>55</v>
      </c>
      <c r="B296" s="48" t="s">
        <v>59</v>
      </c>
      <c r="C296" s="49">
        <f>+C297</f>
        <v>31.05</v>
      </c>
    </row>
    <row r="297" spans="1:3" ht="10.5" customHeight="1" x14ac:dyDescent="0.2">
      <c r="A297" s="51"/>
      <c r="B297" s="52" t="s">
        <v>313</v>
      </c>
      <c r="C297" s="53">
        <v>31.05</v>
      </c>
    </row>
    <row r="298" spans="1:3" ht="10.5" customHeight="1" x14ac:dyDescent="0.2">
      <c r="A298" s="47" t="s">
        <v>56</v>
      </c>
      <c r="B298" s="48" t="s">
        <v>59</v>
      </c>
      <c r="C298" s="49">
        <f>+C299</f>
        <v>28.58</v>
      </c>
    </row>
    <row r="299" spans="1:3" ht="10.5" customHeight="1" x14ac:dyDescent="0.2">
      <c r="A299" s="51"/>
      <c r="B299" s="52" t="s">
        <v>314</v>
      </c>
      <c r="C299" s="53">
        <v>28.58</v>
      </c>
    </row>
    <row r="300" spans="1:3" ht="10.5" customHeight="1" x14ac:dyDescent="0.2">
      <c r="A300" s="47" t="s">
        <v>57</v>
      </c>
      <c r="B300" s="48" t="s">
        <v>60</v>
      </c>
      <c r="C300" s="49">
        <f>+C301</f>
        <v>53.3</v>
      </c>
    </row>
    <row r="301" spans="1:3" ht="10.5" customHeight="1" x14ac:dyDescent="0.2">
      <c r="A301" s="51"/>
      <c r="B301" s="52" t="s">
        <v>315</v>
      </c>
      <c r="C301" s="53">
        <v>53.3</v>
      </c>
    </row>
    <row r="302" spans="1:3" ht="10.5" customHeight="1" x14ac:dyDescent="0.2">
      <c r="A302" s="47" t="s">
        <v>58</v>
      </c>
      <c r="B302" s="48" t="s">
        <v>61</v>
      </c>
      <c r="C302" s="49">
        <f>SUM(C303:C307)</f>
        <v>49.27</v>
      </c>
    </row>
    <row r="303" spans="1:3" ht="10.5" customHeight="1" x14ac:dyDescent="0.2">
      <c r="A303" s="51"/>
      <c r="B303" s="52" t="s">
        <v>316</v>
      </c>
      <c r="C303" s="53">
        <v>14.19</v>
      </c>
    </row>
    <row r="304" spans="1:3" ht="10.5" customHeight="1" x14ac:dyDescent="0.2">
      <c r="A304" s="51"/>
      <c r="B304" s="52" t="s">
        <v>311</v>
      </c>
      <c r="C304" s="53">
        <v>15.47</v>
      </c>
    </row>
    <row r="305" spans="1:3" ht="10.5" customHeight="1" x14ac:dyDescent="0.2">
      <c r="A305" s="51"/>
      <c r="B305" s="52" t="s">
        <v>312</v>
      </c>
      <c r="C305" s="53">
        <v>2.12</v>
      </c>
    </row>
    <row r="306" spans="1:3" ht="10.5" customHeight="1" x14ac:dyDescent="0.2">
      <c r="A306" s="51"/>
      <c r="B306" s="52" t="s">
        <v>374</v>
      </c>
      <c r="C306" s="53">
        <v>13.75</v>
      </c>
    </row>
    <row r="307" spans="1:3" ht="10.5" customHeight="1" x14ac:dyDescent="0.2">
      <c r="A307" s="51"/>
      <c r="B307" s="52" t="s">
        <v>375</v>
      </c>
      <c r="C307" s="53">
        <v>3.74</v>
      </c>
    </row>
    <row r="308" spans="1:3" ht="10.5" customHeight="1" x14ac:dyDescent="0.2">
      <c r="A308" s="51"/>
    </row>
    <row r="309" spans="1:3" ht="10.5" customHeight="1" x14ac:dyDescent="0.2">
      <c r="A309" s="51"/>
    </row>
    <row r="310" spans="1:3" ht="10.5" customHeight="1" x14ac:dyDescent="0.2">
      <c r="A310" s="51"/>
    </row>
  </sheetData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</vt:i4>
      </vt:variant>
    </vt:vector>
  </HeadingPairs>
  <TitlesOfParts>
    <vt:vector size="10" baseType="lpstr">
      <vt:lpstr>POŽÁRNÍ ÚSEKY</vt:lpstr>
      <vt:lpstr>STUPEŇ POŽÁRNÍ BEZPEČNOSTI</vt:lpstr>
      <vt:lpstr>ÚNIKOVÉ CESTY</vt:lpstr>
      <vt:lpstr>ODSTUPOVÉ VZDÁLENOSTI</vt:lpstr>
      <vt:lpstr>HASICÍ PŘÍSTROJE</vt:lpstr>
      <vt:lpstr>Výpočet</vt:lpstr>
      <vt:lpstr>Otvory</vt:lpstr>
      <vt:lpstr>ROZD</vt:lpstr>
      <vt:lpstr>'STUPEŇ POŽÁRNÍ BEZPEČNOSTI'!Názvy_tisku</vt:lpstr>
      <vt:lpstr>'ÚNIKOVÉ CESTY'!Názvy_tisku</vt:lpstr>
    </vt:vector>
  </TitlesOfParts>
  <Company>Profitech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Entler</dc:creator>
  <cp:lastModifiedBy>thinkpad</cp:lastModifiedBy>
  <cp:lastPrinted>2013-04-21T22:02:49Z</cp:lastPrinted>
  <dcterms:created xsi:type="dcterms:W3CDTF">2012-12-02T19:43:12Z</dcterms:created>
  <dcterms:modified xsi:type="dcterms:W3CDTF">2013-04-21T22:03:03Z</dcterms:modified>
</cp:coreProperties>
</file>